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4.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חוברת_עבודה_זו"/>
  <mc:AlternateContent xmlns:mc="http://schemas.openxmlformats.org/markup-compatibility/2006">
    <mc:Choice Requires="x15">
      <x15ac:absPath xmlns:x15ac="http://schemas.microsoft.com/office/spreadsheetml/2010/11/ac" url="https://palgey-my.sharepoint.com/personal/sharon_palgey_co_il/Documents/שולחן העבודה/מסמכים שרון/"/>
    </mc:Choice>
  </mc:AlternateContent>
  <xr:revisionPtr revIDLastSave="0" documentId="8_{66B49207-A64D-40C4-A3B8-F5AD7555599B}" xr6:coauthVersionLast="47" xr6:coauthVersionMax="47" xr10:uidLastSave="{00000000-0000-0000-0000-000000000000}"/>
  <workbookProtection workbookAlgorithmName="SHA-512" workbookHashValue="rzs9X2Aa98oeuBSLU/3g615actk8ENVeoWLDHeU89+H0tOlLohxBjhKR/3bUCczMAfHVob0FvbtxEzzy0Jz+bg==" workbookSaltValue="YP42s6rVaMAqmH+Wz/JMXg==" workbookSpinCount="100000" lockStructure="1"/>
  <bookViews>
    <workbookView xWindow="-120" yWindow="-120" windowWidth="29040" windowHeight="15720" tabRatio="943" activeTab="14" xr2:uid="{00000000-000D-0000-FFFF-FFFF00000000}"/>
  </bookViews>
  <sheets>
    <sheet name="הנחיות" sheetId="1" r:id="rId1"/>
    <sheet name="פרטי התאגיד" sheetId="2" r:id="rId2"/>
    <sheet name="תוכן עניינים" sheetId="3" r:id="rId3"/>
    <sheet name="מאזן" sheetId="5" r:id="rId4"/>
    <sheet name="חוו&quot;ד רו&quot;ח" sheetId="4" r:id="rId5"/>
    <sheet name="רו&quot;ה" sheetId="6" r:id="rId6"/>
    <sheet name="הון עצמי" sheetId="7" r:id="rId7"/>
    <sheet name="תזרים" sheetId="8" r:id="rId8"/>
    <sheet name="נספח א" sheetId="9" r:id="rId9"/>
    <sheet name="נספח ב" sheetId="10" r:id="rId10"/>
    <sheet name="ביאורים 1-9" sheetId="11" r:id="rId11"/>
    <sheet name="ביאורים 10-11" sheetId="12" r:id="rId12"/>
    <sheet name="ביאור 10 פירוט" sheetId="13" r:id="rId13"/>
    <sheet name="ביאור 11 פירוט" sheetId="14" r:id="rId14"/>
    <sheet name="ביאורים 12-29" sheetId="15" r:id="rId15"/>
    <sheet name="ביאורים 30-32" sheetId="16" r:id="rId16"/>
    <sheet name="תמצית דוח דירקטוריון" sheetId="17" r:id="rId17"/>
    <sheet name="דוח הצלבות" sheetId="18"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7" i="15" l="1"/>
  <c r="H571" i="15"/>
  <c r="H235" i="11"/>
  <c r="H37" i="9" l="1"/>
  <c r="H35" i="9"/>
  <c r="H70" i="15"/>
  <c r="H561" i="15"/>
  <c r="H543" i="15"/>
  <c r="H263" i="15"/>
  <c r="G33" i="8" l="1"/>
  <c r="G34" i="8"/>
  <c r="H14" i="9"/>
  <c r="G27" i="8"/>
  <c r="G23" i="8"/>
  <c r="J35" i="9"/>
  <c r="J15" i="9"/>
  <c r="J14" i="9"/>
  <c r="I53" i="8"/>
  <c r="I27" i="8"/>
  <c r="I26" i="8"/>
  <c r="I23" i="8"/>
  <c r="G136" i="17" l="1"/>
  <c r="G118" i="17"/>
  <c r="G117" i="17"/>
  <c r="G116" i="17"/>
  <c r="G115" i="17"/>
  <c r="H72" i="15" l="1"/>
  <c r="H505" i="15"/>
  <c r="H36" i="15"/>
  <c r="H501" i="15" l="1"/>
  <c r="H502" i="15"/>
  <c r="H354" i="15"/>
  <c r="H414" i="15"/>
  <c r="H349" i="15"/>
  <c r="H345" i="15"/>
  <c r="J354" i="15"/>
  <c r="J347" i="15"/>
  <c r="J345" i="15"/>
  <c r="J343" i="15"/>
  <c r="H261" i="15" l="1"/>
  <c r="H255" i="15"/>
  <c r="H51" i="15"/>
  <c r="H35" i="15"/>
  <c r="J40" i="13" l="1"/>
  <c r="J25" i="13"/>
  <c r="V25" i="13"/>
  <c r="J70" i="15" l="1"/>
  <c r="J58" i="15"/>
  <c r="J51" i="15"/>
  <c r="J36" i="15"/>
  <c r="J35" i="15"/>
  <c r="J629" i="15"/>
  <c r="J608" i="15"/>
  <c r="J593" i="15"/>
  <c r="J571" i="15"/>
  <c r="J542" i="15"/>
  <c r="J504" i="15"/>
  <c r="J502" i="15"/>
  <c r="J501" i="15"/>
  <c r="J496" i="15"/>
  <c r="J494" i="15"/>
  <c r="J483" i="15"/>
  <c r="J478" i="15"/>
  <c r="J448" i="15"/>
  <c r="J414" i="15"/>
  <c r="J403" i="15"/>
  <c r="J398" i="15"/>
  <c r="J396" i="15"/>
  <c r="J340" i="15"/>
  <c r="J262" i="15"/>
  <c r="J261" i="15"/>
  <c r="J257" i="15"/>
  <c r="J255" i="15"/>
  <c r="J254" i="15"/>
  <c r="H64" i="12"/>
  <c r="G64" i="12"/>
  <c r="G42" i="18" l="1"/>
  <c r="G40" i="18"/>
  <c r="G37" i="18"/>
  <c r="G38" i="18"/>
  <c r="G39" i="18"/>
  <c r="G41" i="18"/>
  <c r="H19" i="12"/>
  <c r="X50" i="13" l="1"/>
  <c r="V50" i="13"/>
  <c r="T50" i="13"/>
  <c r="R50" i="13"/>
  <c r="N50" i="13"/>
  <c r="L50" i="13"/>
  <c r="J50" i="13"/>
  <c r="H50" i="13"/>
  <c r="F50" i="13"/>
  <c r="P49" i="13"/>
  <c r="Z49" i="13"/>
  <c r="AD49" i="13"/>
  <c r="X34" i="13"/>
  <c r="V34" i="13"/>
  <c r="T34" i="13"/>
  <c r="R34" i="13"/>
  <c r="N34" i="13"/>
  <c r="L34" i="13"/>
  <c r="J34" i="13"/>
  <c r="H34" i="13"/>
  <c r="F34" i="13"/>
  <c r="P33" i="13"/>
  <c r="Z33" i="13"/>
  <c r="AD33" i="13"/>
  <c r="H83" i="17"/>
  <c r="K38" i="18"/>
  <c r="H282" i="11"/>
  <c r="H584" i="15"/>
  <c r="H562" i="15"/>
  <c r="H564" i="15" s="1"/>
  <c r="J562" i="15"/>
  <c r="J564" i="15" s="1"/>
  <c r="J533" i="15"/>
  <c r="H533" i="15"/>
  <c r="J522" i="15"/>
  <c r="H522" i="15"/>
  <c r="J357" i="15"/>
  <c r="H357" i="15"/>
  <c r="K37" i="18"/>
  <c r="M37" i="18" s="1"/>
  <c r="AB49" i="13" l="1"/>
  <c r="AB33" i="13"/>
  <c r="N37" i="18"/>
  <c r="O37" i="18"/>
  <c r="C1" i="4" l="1"/>
  <c r="H102" i="17" l="1"/>
  <c r="J102" i="17" s="1"/>
  <c r="G128" i="17"/>
  <c r="H115" i="17"/>
  <c r="J115" i="17" s="1"/>
  <c r="F28" i="17"/>
  <c r="C4" i="17"/>
  <c r="C1" i="17"/>
  <c r="C4" i="18"/>
  <c r="C4" i="14"/>
  <c r="C4" i="13"/>
  <c r="C4" i="12"/>
  <c r="C4" i="11"/>
  <c r="C4" i="10"/>
  <c r="C4" i="9"/>
  <c r="C1" i="14"/>
  <c r="P23" i="13"/>
  <c r="P24" i="13"/>
  <c r="P25" i="13"/>
  <c r="P26" i="13"/>
  <c r="P27" i="13"/>
  <c r="P28" i="13"/>
  <c r="P29" i="13"/>
  <c r="P30" i="13"/>
  <c r="P31" i="13"/>
  <c r="P32" i="13"/>
  <c r="P22" i="13"/>
  <c r="P15" i="13"/>
  <c r="P16" i="13"/>
  <c r="P17" i="13"/>
  <c r="P18" i="13"/>
  <c r="P14" i="13"/>
  <c r="F75" i="13"/>
  <c r="F68" i="13"/>
  <c r="F62" i="13"/>
  <c r="F57" i="13"/>
  <c r="C1" i="13"/>
  <c r="H265" i="15"/>
  <c r="C4" i="15"/>
  <c r="C1" i="15"/>
  <c r="K35" i="18"/>
  <c r="K36" i="18"/>
  <c r="C1" i="18"/>
  <c r="I64" i="12"/>
  <c r="H69" i="12"/>
  <c r="G69" i="12"/>
  <c r="C1" i="12"/>
  <c r="H263" i="11"/>
  <c r="C1" i="11"/>
  <c r="C1" i="10"/>
  <c r="C1" i="9"/>
  <c r="C4" i="16"/>
  <c r="C1" i="16"/>
  <c r="C1" i="8"/>
  <c r="C4" i="8"/>
  <c r="P34" i="13" l="1"/>
  <c r="C4" i="7"/>
  <c r="C1" i="7"/>
  <c r="C4" i="6"/>
  <c r="C1" i="6"/>
  <c r="C4" i="5"/>
  <c r="C1" i="5"/>
  <c r="C1" i="3"/>
  <c r="C1" i="2"/>
  <c r="H33" i="18"/>
  <c r="H34" i="18" s="1"/>
  <c r="G138" i="17"/>
  <c r="F120" i="17"/>
  <c r="E120" i="17"/>
  <c r="G119" i="17"/>
  <c r="G120" i="17" s="1"/>
  <c r="D116" i="17"/>
  <c r="H105" i="17"/>
  <c r="J105" i="17" s="1"/>
  <c r="H104" i="17"/>
  <c r="J104" i="17" s="1"/>
  <c r="H103" i="17"/>
  <c r="H82" i="17"/>
  <c r="F81" i="17"/>
  <c r="F80" i="17"/>
  <c r="F79" i="17"/>
  <c r="F78" i="17"/>
  <c r="H78" i="17" s="1"/>
  <c r="F77" i="17"/>
  <c r="H77" i="17" s="1"/>
  <c r="F76" i="17"/>
  <c r="F75" i="17"/>
  <c r="F74" i="17"/>
  <c r="F73" i="17"/>
  <c r="F72" i="17"/>
  <c r="F71" i="17"/>
  <c r="F68" i="17"/>
  <c r="F67" i="17"/>
  <c r="H28" i="17"/>
  <c r="H30" i="17" s="1"/>
  <c r="F30" i="17"/>
  <c r="H14" i="17"/>
  <c r="F14" i="17"/>
  <c r="J653" i="15"/>
  <c r="H653" i="15"/>
  <c r="J633" i="15"/>
  <c r="H633" i="15"/>
  <c r="J600" i="15"/>
  <c r="H600" i="15"/>
  <c r="J584" i="15"/>
  <c r="J583" i="15"/>
  <c r="H583" i="15"/>
  <c r="J582" i="15"/>
  <c r="H582" i="15"/>
  <c r="J581" i="15"/>
  <c r="H581" i="15"/>
  <c r="J580" i="15"/>
  <c r="H580" i="15"/>
  <c r="J579" i="15"/>
  <c r="H579" i="15"/>
  <c r="J573" i="15"/>
  <c r="G25" i="6"/>
  <c r="I25" i="6"/>
  <c r="J551" i="15"/>
  <c r="I22" i="6" s="1"/>
  <c r="H551" i="15"/>
  <c r="G22" i="6" s="1"/>
  <c r="J509" i="15"/>
  <c r="I16" i="6" s="1"/>
  <c r="H509" i="15"/>
  <c r="G16" i="6" s="1"/>
  <c r="J487" i="15"/>
  <c r="I15" i="6" s="1"/>
  <c r="H487" i="15"/>
  <c r="G15" i="6" s="1"/>
  <c r="J462" i="15"/>
  <c r="H462" i="15"/>
  <c r="J452" i="15"/>
  <c r="H452" i="15"/>
  <c r="J442" i="15"/>
  <c r="H442" i="15"/>
  <c r="J425" i="15"/>
  <c r="H425" i="15"/>
  <c r="J411" i="15"/>
  <c r="H411" i="15"/>
  <c r="J394" i="15"/>
  <c r="H394" i="15"/>
  <c r="J379" i="15"/>
  <c r="H379" i="15"/>
  <c r="J341" i="15"/>
  <c r="H341" i="15"/>
  <c r="J330" i="15"/>
  <c r="H330" i="15"/>
  <c r="J324" i="15"/>
  <c r="H324" i="15"/>
  <c r="J309" i="15"/>
  <c r="H56" i="5" s="1"/>
  <c r="H309" i="15"/>
  <c r="F56" i="5" s="1"/>
  <c r="J292" i="15"/>
  <c r="H292" i="15"/>
  <c r="J278" i="15"/>
  <c r="J279" i="15" s="1"/>
  <c r="H55" i="5" s="1"/>
  <c r="H278" i="15"/>
  <c r="H279" i="15" s="1"/>
  <c r="J265" i="15"/>
  <c r="J256" i="15"/>
  <c r="J259" i="15" s="1"/>
  <c r="H256" i="15"/>
  <c r="H259" i="15" s="1"/>
  <c r="J238" i="15"/>
  <c r="J186" i="15" s="1"/>
  <c r="H238" i="15"/>
  <c r="H186" i="15" s="1"/>
  <c r="J225" i="15"/>
  <c r="J185" i="15" s="1"/>
  <c r="H225" i="15"/>
  <c r="H185" i="15" s="1"/>
  <c r="J213" i="15"/>
  <c r="J184" i="15" s="1"/>
  <c r="H213" i="15"/>
  <c r="H184" i="15" s="1"/>
  <c r="J201" i="15"/>
  <c r="J183" i="15" s="1"/>
  <c r="H201" i="15"/>
  <c r="H183" i="15" s="1"/>
  <c r="J188" i="15"/>
  <c r="J24" i="15" s="1"/>
  <c r="H188" i="15"/>
  <c r="H24" i="15" s="1"/>
  <c r="J166" i="15"/>
  <c r="J139" i="15" s="1"/>
  <c r="H166" i="15"/>
  <c r="H139" i="15" s="1"/>
  <c r="J154" i="15"/>
  <c r="J138" i="15" s="1"/>
  <c r="H154" i="15"/>
  <c r="H138" i="15" s="1"/>
  <c r="J141" i="15"/>
  <c r="J23" i="15" s="1"/>
  <c r="H141" i="15"/>
  <c r="H23" i="15" s="1"/>
  <c r="J123" i="15"/>
  <c r="J83" i="15" s="1"/>
  <c r="H123" i="15"/>
  <c r="H83" i="15" s="1"/>
  <c r="J111" i="15"/>
  <c r="J82" i="15" s="1"/>
  <c r="H111" i="15"/>
  <c r="H82" i="15" s="1"/>
  <c r="J99" i="15"/>
  <c r="H99" i="15"/>
  <c r="J85" i="15"/>
  <c r="J22" i="15" s="1"/>
  <c r="H85" i="15"/>
  <c r="H22" i="15" s="1"/>
  <c r="J71" i="15"/>
  <c r="H71" i="15"/>
  <c r="H74" i="15" s="1"/>
  <c r="F46" i="5" s="1"/>
  <c r="J62" i="15"/>
  <c r="H45" i="5" s="1"/>
  <c r="H62" i="15"/>
  <c r="F45" i="5" s="1"/>
  <c r="J52" i="15"/>
  <c r="J37" i="15" s="1"/>
  <c r="J41" i="15" s="1"/>
  <c r="H44" i="5" s="1"/>
  <c r="H52" i="15"/>
  <c r="H37" i="15" s="1"/>
  <c r="H41" i="15" s="1"/>
  <c r="F44" i="5" s="1"/>
  <c r="C42" i="15"/>
  <c r="J16" i="15"/>
  <c r="H29" i="5" s="1"/>
  <c r="H16" i="15"/>
  <c r="F29" i="5" s="1"/>
  <c r="L55" i="14"/>
  <c r="J55" i="14"/>
  <c r="H55" i="14"/>
  <c r="F55" i="14"/>
  <c r="N54" i="14"/>
  <c r="N53" i="14"/>
  <c r="N52" i="14"/>
  <c r="N51" i="14"/>
  <c r="L48" i="14"/>
  <c r="J48" i="14"/>
  <c r="H48" i="14"/>
  <c r="F48" i="14"/>
  <c r="N47" i="14"/>
  <c r="N46" i="14"/>
  <c r="N45" i="14"/>
  <c r="N44" i="14"/>
  <c r="N43" i="14"/>
  <c r="N42" i="14"/>
  <c r="N41" i="14"/>
  <c r="N40" i="14"/>
  <c r="N39" i="14"/>
  <c r="N38" i="14"/>
  <c r="L33" i="14"/>
  <c r="J33" i="14"/>
  <c r="H33" i="14"/>
  <c r="F33" i="14"/>
  <c r="N32" i="14"/>
  <c r="N31" i="14"/>
  <c r="N30" i="14"/>
  <c r="N29" i="14"/>
  <c r="N28" i="14"/>
  <c r="N27" i="14"/>
  <c r="N26" i="14"/>
  <c r="N25" i="14"/>
  <c r="N24" i="14"/>
  <c r="N23" i="14"/>
  <c r="N22" i="14"/>
  <c r="L19" i="14"/>
  <c r="J19" i="14"/>
  <c r="H19" i="14"/>
  <c r="H35" i="14" s="1"/>
  <c r="F19" i="14"/>
  <c r="N18" i="14"/>
  <c r="N17" i="14"/>
  <c r="N16" i="14"/>
  <c r="N15" i="14"/>
  <c r="N14" i="14"/>
  <c r="X75" i="13"/>
  <c r="V75" i="13"/>
  <c r="T75" i="13"/>
  <c r="R75" i="13"/>
  <c r="N75" i="13"/>
  <c r="L75" i="13"/>
  <c r="J75" i="13"/>
  <c r="H75" i="13"/>
  <c r="AD74" i="13"/>
  <c r="Z74" i="13"/>
  <c r="P74" i="13"/>
  <c r="AD73" i="13"/>
  <c r="Z73" i="13"/>
  <c r="P73" i="13"/>
  <c r="AD72" i="13"/>
  <c r="Z72" i="13"/>
  <c r="P72" i="13"/>
  <c r="AD71" i="13"/>
  <c r="Z71" i="13"/>
  <c r="P71" i="13"/>
  <c r="X68" i="13"/>
  <c r="V68" i="13"/>
  <c r="T68" i="13"/>
  <c r="R68" i="13"/>
  <c r="N68" i="13"/>
  <c r="L68" i="13"/>
  <c r="J68" i="13"/>
  <c r="H68" i="13"/>
  <c r="AD67" i="13"/>
  <c r="Z67" i="13"/>
  <c r="P67" i="13"/>
  <c r="AD66" i="13"/>
  <c r="Z66" i="13"/>
  <c r="P66" i="13"/>
  <c r="AD65" i="13"/>
  <c r="Z65" i="13"/>
  <c r="P65" i="13"/>
  <c r="AD64" i="13"/>
  <c r="Z64" i="13"/>
  <c r="P64" i="13"/>
  <c r="X62" i="13"/>
  <c r="V62" i="13"/>
  <c r="T62" i="13"/>
  <c r="R62" i="13"/>
  <c r="N62" i="13"/>
  <c r="L62" i="13"/>
  <c r="J62" i="13"/>
  <c r="H62" i="13"/>
  <c r="AD61" i="13"/>
  <c r="Z61" i="13"/>
  <c r="P61" i="13"/>
  <c r="AD60" i="13"/>
  <c r="Z60" i="13"/>
  <c r="P60" i="13"/>
  <c r="AD59" i="13"/>
  <c r="Z59" i="13"/>
  <c r="P59" i="13"/>
  <c r="X57" i="13"/>
  <c r="V57" i="13"/>
  <c r="T57" i="13"/>
  <c r="R57" i="13"/>
  <c r="N57" i="13"/>
  <c r="L57" i="13"/>
  <c r="J57" i="13"/>
  <c r="H57" i="13"/>
  <c r="AD56" i="13"/>
  <c r="Z56" i="13"/>
  <c r="P56" i="13"/>
  <c r="AD55" i="13"/>
  <c r="Z55" i="13"/>
  <c r="P55" i="13"/>
  <c r="AD54" i="13"/>
  <c r="Z54" i="13"/>
  <c r="P54" i="13"/>
  <c r="AD53" i="13"/>
  <c r="Z53" i="13"/>
  <c r="P53" i="13"/>
  <c r="K42" i="18"/>
  <c r="K40" i="18"/>
  <c r="AD48" i="13"/>
  <c r="Z48" i="13"/>
  <c r="P48" i="13"/>
  <c r="AD47" i="13"/>
  <c r="Z47" i="13"/>
  <c r="P47" i="13"/>
  <c r="AD46" i="13"/>
  <c r="Z46" i="13"/>
  <c r="P46" i="13"/>
  <c r="AD45" i="13"/>
  <c r="Z45" i="13"/>
  <c r="P45" i="13"/>
  <c r="AD44" i="13"/>
  <c r="Z44" i="13"/>
  <c r="P44" i="13"/>
  <c r="AD43" i="13"/>
  <c r="Z43" i="13"/>
  <c r="P43" i="13"/>
  <c r="AD42" i="13"/>
  <c r="Z42" i="13"/>
  <c r="P42" i="13"/>
  <c r="AD41" i="13"/>
  <c r="Z41" i="13"/>
  <c r="P41" i="13"/>
  <c r="AD40" i="13"/>
  <c r="Z40" i="13"/>
  <c r="P40" i="13"/>
  <c r="AD39" i="13"/>
  <c r="Z39" i="13"/>
  <c r="P39" i="13"/>
  <c r="AD32" i="13"/>
  <c r="Z32" i="13"/>
  <c r="AB32" i="13" s="1"/>
  <c r="AD31" i="13"/>
  <c r="Z31" i="13"/>
  <c r="AB31" i="13" s="1"/>
  <c r="AD30" i="13"/>
  <c r="Z30" i="13"/>
  <c r="AB30" i="13" s="1"/>
  <c r="AD29" i="13"/>
  <c r="Z29" i="13"/>
  <c r="AB29" i="13" s="1"/>
  <c r="AD28" i="13"/>
  <c r="Z28" i="13"/>
  <c r="AD27" i="13"/>
  <c r="Z27" i="13"/>
  <c r="AD26" i="13"/>
  <c r="Z26" i="13"/>
  <c r="AD25" i="13"/>
  <c r="Z25" i="13"/>
  <c r="AD24" i="13"/>
  <c r="Z24" i="13"/>
  <c r="AB24" i="13" s="1"/>
  <c r="AD23" i="13"/>
  <c r="Z23" i="13"/>
  <c r="AB23" i="13" s="1"/>
  <c r="AD22" i="13"/>
  <c r="Z22" i="13"/>
  <c r="X19" i="13"/>
  <c r="V19" i="13"/>
  <c r="V36" i="13" s="1"/>
  <c r="K41" i="18" s="1"/>
  <c r="T19" i="13"/>
  <c r="R19" i="13"/>
  <c r="P19" i="13"/>
  <c r="N19" i="13"/>
  <c r="L19" i="13"/>
  <c r="J19" i="13"/>
  <c r="H19" i="13"/>
  <c r="F19" i="13"/>
  <c r="AD18" i="13"/>
  <c r="Z18" i="13"/>
  <c r="AB18" i="13" s="1"/>
  <c r="AD17" i="13"/>
  <c r="Z17" i="13"/>
  <c r="AB17" i="13" s="1"/>
  <c r="AD16" i="13"/>
  <c r="Z16" i="13"/>
  <c r="AB16" i="13" s="1"/>
  <c r="AD15" i="13"/>
  <c r="Z15" i="13"/>
  <c r="AB15" i="13" s="1"/>
  <c r="AD14" i="13"/>
  <c r="Z14" i="13"/>
  <c r="L100" i="12"/>
  <c r="L99" i="12"/>
  <c r="K97" i="12"/>
  <c r="K101" i="12" s="1"/>
  <c r="J97" i="12"/>
  <c r="J101" i="12" s="1"/>
  <c r="I97" i="12"/>
  <c r="I101" i="12" s="1"/>
  <c r="H97" i="12"/>
  <c r="H101" i="12" s="1"/>
  <c r="G97" i="12"/>
  <c r="G101" i="12" s="1"/>
  <c r="L96" i="12"/>
  <c r="L95" i="12"/>
  <c r="H26" i="5" s="1"/>
  <c r="I69" i="12"/>
  <c r="I68" i="12"/>
  <c r="I67" i="12"/>
  <c r="H66" i="12"/>
  <c r="G66" i="12"/>
  <c r="I65" i="12"/>
  <c r="O51" i="12"/>
  <c r="O38" i="12"/>
  <c r="O37" i="12"/>
  <c r="O36" i="12"/>
  <c r="N34" i="12"/>
  <c r="N35" i="12" s="1"/>
  <c r="N39" i="12" s="1"/>
  <c r="M34" i="12"/>
  <c r="M35" i="12" s="1"/>
  <c r="M39" i="12" s="1"/>
  <c r="L34" i="12"/>
  <c r="L35" i="12" s="1"/>
  <c r="L39" i="12" s="1"/>
  <c r="K34" i="12"/>
  <c r="K35" i="12" s="1"/>
  <c r="K39" i="12" s="1"/>
  <c r="J34" i="12"/>
  <c r="J35" i="12" s="1"/>
  <c r="J39" i="12" s="1"/>
  <c r="I34" i="12"/>
  <c r="I35" i="12" s="1"/>
  <c r="I39" i="12" s="1"/>
  <c r="H34" i="12"/>
  <c r="H35" i="12" s="1"/>
  <c r="H39" i="12" s="1"/>
  <c r="G34" i="12"/>
  <c r="O33" i="12"/>
  <c r="O32" i="12"/>
  <c r="O31" i="12"/>
  <c r="O30" i="12"/>
  <c r="O24" i="12"/>
  <c r="O23" i="12"/>
  <c r="O22" i="12"/>
  <c r="O21" i="12"/>
  <c r="N19" i="12"/>
  <c r="M19" i="12"/>
  <c r="L19" i="12"/>
  <c r="L20" i="12" s="1"/>
  <c r="L25" i="12" s="1"/>
  <c r="K19" i="12"/>
  <c r="J19" i="12"/>
  <c r="J20" i="12" s="1"/>
  <c r="J25" i="12" s="1"/>
  <c r="I19" i="12"/>
  <c r="I20" i="12" s="1"/>
  <c r="I25" i="12" s="1"/>
  <c r="G19" i="12"/>
  <c r="O18" i="12"/>
  <c r="O17" i="12"/>
  <c r="O16" i="12"/>
  <c r="O15" i="12"/>
  <c r="O14" i="12"/>
  <c r="J287" i="11"/>
  <c r="H287" i="11"/>
  <c r="J282" i="11"/>
  <c r="H22" i="5" s="1"/>
  <c r="F22" i="5"/>
  <c r="J273" i="11"/>
  <c r="H20" i="5" s="1"/>
  <c r="H273" i="11"/>
  <c r="F20" i="5" s="1"/>
  <c r="J263" i="11"/>
  <c r="H16" i="5" s="1"/>
  <c r="F16" i="5"/>
  <c r="J253" i="11"/>
  <c r="H15" i="5" s="1"/>
  <c r="H253" i="11"/>
  <c r="F15" i="5" s="1"/>
  <c r="J237" i="11"/>
  <c r="H233" i="11" s="1"/>
  <c r="J209" i="11"/>
  <c r="H12" i="5" s="1"/>
  <c r="H209" i="11"/>
  <c r="F12" i="5" s="1"/>
  <c r="J196" i="11"/>
  <c r="H11" i="5" s="1"/>
  <c r="G18" i="18" s="1"/>
  <c r="H196" i="11"/>
  <c r="F11" i="5" s="1"/>
  <c r="G17" i="18" s="1"/>
  <c r="J40" i="9"/>
  <c r="H40" i="9"/>
  <c r="B39" i="9"/>
  <c r="J26" i="9"/>
  <c r="H26" i="9"/>
  <c r="G65" i="8"/>
  <c r="K17" i="18" s="1"/>
  <c r="I60" i="8"/>
  <c r="G60" i="8"/>
  <c r="B59" i="8"/>
  <c r="B58" i="8"/>
  <c r="B57" i="8"/>
  <c r="B56" i="8"/>
  <c r="I43" i="8"/>
  <c r="G43" i="8"/>
  <c r="B42" i="8"/>
  <c r="B41" i="8"/>
  <c r="B40" i="8"/>
  <c r="B39" i="8"/>
  <c r="P32" i="7"/>
  <c r="P30" i="7"/>
  <c r="G35" i="18" s="1"/>
  <c r="P26" i="7"/>
  <c r="P23" i="7"/>
  <c r="P21" i="7"/>
  <c r="G36" i="18" s="1"/>
  <c r="P17" i="7"/>
  <c r="N15" i="7"/>
  <c r="L15" i="7"/>
  <c r="L24" i="7" s="1"/>
  <c r="L33" i="7" s="1"/>
  <c r="J15" i="7"/>
  <c r="J24" i="7" s="1"/>
  <c r="J33" i="7" s="1"/>
  <c r="H15" i="7"/>
  <c r="H24" i="7" s="1"/>
  <c r="H33" i="7" s="1"/>
  <c r="F15" i="7"/>
  <c r="F24" i="7" s="1"/>
  <c r="P13" i="7"/>
  <c r="P11" i="7"/>
  <c r="F55" i="5"/>
  <c r="H30" i="5"/>
  <c r="C4" i="4"/>
  <c r="H381" i="15" l="1"/>
  <c r="K21" i="18" s="1"/>
  <c r="H58" i="14"/>
  <c r="F33" i="7"/>
  <c r="G20" i="18" s="1"/>
  <c r="G19" i="18"/>
  <c r="I11" i="6"/>
  <c r="K44" i="12"/>
  <c r="M44" i="12"/>
  <c r="J45" i="12"/>
  <c r="G11" i="2"/>
  <c r="G13" i="2" s="1"/>
  <c r="L35" i="14"/>
  <c r="L58" i="14" s="1"/>
  <c r="O19" i="12"/>
  <c r="O20" i="12" s="1"/>
  <c r="F11" i="14"/>
  <c r="J74" i="15"/>
  <c r="H46" i="5" s="1"/>
  <c r="AB65" i="13"/>
  <c r="P50" i="13"/>
  <c r="D117" i="17"/>
  <c r="J117" i="17" s="1"/>
  <c r="J103" i="17"/>
  <c r="H10" i="9"/>
  <c r="H284" i="11"/>
  <c r="G44" i="12"/>
  <c r="D101" i="12"/>
  <c r="Z34" i="13"/>
  <c r="AD50" i="13"/>
  <c r="O34" i="12"/>
  <c r="H570" i="15"/>
  <c r="H573" i="15" s="1"/>
  <c r="G35" i="12"/>
  <c r="O35" i="12" s="1"/>
  <c r="H587" i="15"/>
  <c r="H44" i="12"/>
  <c r="D20" i="12"/>
  <c r="P11" i="13"/>
  <c r="H182" i="15"/>
  <c r="F114" i="17"/>
  <c r="N44" i="12"/>
  <c r="Z50" i="13"/>
  <c r="P15" i="7"/>
  <c r="I45" i="12"/>
  <c r="K20" i="12"/>
  <c r="K25" i="12" s="1"/>
  <c r="K45" i="12" s="1"/>
  <c r="Z11" i="13"/>
  <c r="H218" i="15"/>
  <c r="F85" i="17"/>
  <c r="F87" i="17" s="1"/>
  <c r="M20" i="12"/>
  <c r="M25" i="12" s="1"/>
  <c r="M45" i="12" s="1"/>
  <c r="M17" i="18"/>
  <c r="N20" i="12"/>
  <c r="N25" i="12" s="1"/>
  <c r="N45" i="12" s="1"/>
  <c r="H285" i="15"/>
  <c r="D119" i="17"/>
  <c r="F69" i="17"/>
  <c r="AB48" i="13"/>
  <c r="AB71" i="13"/>
  <c r="P62" i="13"/>
  <c r="AD62" i="13"/>
  <c r="L36" i="13"/>
  <c r="L78" i="13" s="1"/>
  <c r="F36" i="13"/>
  <c r="F78" i="13" s="1"/>
  <c r="N36" i="13"/>
  <c r="N78" i="13" s="1"/>
  <c r="AB43" i="13"/>
  <c r="AB47" i="13"/>
  <c r="X36" i="13"/>
  <c r="X78" i="13" s="1"/>
  <c r="T36" i="13"/>
  <c r="T78" i="13" s="1"/>
  <c r="AB67" i="13"/>
  <c r="AB46" i="13"/>
  <c r="M40" i="18"/>
  <c r="O40" i="18"/>
  <c r="N40" i="18"/>
  <c r="AB53" i="13"/>
  <c r="Z62" i="13"/>
  <c r="P68" i="13"/>
  <c r="AB73" i="13"/>
  <c r="M41" i="18"/>
  <c r="O41" i="18"/>
  <c r="N41" i="18"/>
  <c r="J36" i="13"/>
  <c r="N42" i="18"/>
  <c r="M42" i="18"/>
  <c r="O42" i="18"/>
  <c r="Z68" i="13"/>
  <c r="Z75" i="13"/>
  <c r="AD19" i="13"/>
  <c r="AD34" i="13"/>
  <c r="AB40" i="13"/>
  <c r="AB44" i="13"/>
  <c r="P57" i="13"/>
  <c r="AB55" i="13"/>
  <c r="AB66" i="13"/>
  <c r="I66" i="12"/>
  <c r="G12" i="6"/>
  <c r="G32" i="18" s="1"/>
  <c r="H57" i="5"/>
  <c r="G11" i="6"/>
  <c r="H430" i="15"/>
  <c r="K22" i="18" s="1"/>
  <c r="H43" i="5"/>
  <c r="I12" i="6"/>
  <c r="K20" i="18"/>
  <c r="M20" i="18" s="1"/>
  <c r="K29" i="18"/>
  <c r="F43" i="5"/>
  <c r="J267" i="15"/>
  <c r="H54" i="5" s="1"/>
  <c r="K23" i="18"/>
  <c r="K19" i="18"/>
  <c r="N19" i="18" s="1"/>
  <c r="K28" i="18"/>
  <c r="K31" i="18"/>
  <c r="N38" i="18"/>
  <c r="O38" i="18"/>
  <c r="M38" i="18"/>
  <c r="L97" i="12"/>
  <c r="L101" i="12" s="1"/>
  <c r="F26" i="5" s="1"/>
  <c r="H9" i="17"/>
  <c r="F9" i="17" s="1"/>
  <c r="G182" i="11"/>
  <c r="C105" i="17"/>
  <c r="C104" i="17" s="1"/>
  <c r="C103" i="17" s="1"/>
  <c r="C102" i="17" s="1"/>
  <c r="H84" i="17"/>
  <c r="O35" i="18"/>
  <c r="N35" i="18"/>
  <c r="M35" i="18"/>
  <c r="N36" i="18"/>
  <c r="O36" i="18"/>
  <c r="M36" i="18"/>
  <c r="I116" i="17"/>
  <c r="H79" i="17"/>
  <c r="H73" i="17"/>
  <c r="H71" i="17"/>
  <c r="H80" i="17"/>
  <c r="H72" i="17"/>
  <c r="H32" i="17"/>
  <c r="H34" i="17" s="1"/>
  <c r="N55" i="14"/>
  <c r="N48" i="14"/>
  <c r="J35" i="14"/>
  <c r="J58" i="14" s="1"/>
  <c r="F35" i="14"/>
  <c r="F58" i="14" s="1"/>
  <c r="N33" i="14"/>
  <c r="N19" i="14"/>
  <c r="AB74" i="13"/>
  <c r="AB72" i="13"/>
  <c r="AD75" i="13"/>
  <c r="P75" i="13"/>
  <c r="AD68" i="13"/>
  <c r="AB60" i="13"/>
  <c r="AB61" i="13"/>
  <c r="Z57" i="13"/>
  <c r="V78" i="13"/>
  <c r="AD57" i="13"/>
  <c r="AB56" i="13"/>
  <c r="AB54" i="13"/>
  <c r="AB45" i="13"/>
  <c r="AB41" i="13"/>
  <c r="AB39" i="13"/>
  <c r="AB42" i="13"/>
  <c r="H36" i="13"/>
  <c r="H78" i="13" s="1"/>
  <c r="P36" i="13"/>
  <c r="R36" i="13"/>
  <c r="R78" i="13" s="1"/>
  <c r="AB26" i="13"/>
  <c r="AB27" i="13"/>
  <c r="AB25" i="13"/>
  <c r="AB28" i="13"/>
  <c r="Z19" i="13"/>
  <c r="H32" i="5"/>
  <c r="J535" i="15"/>
  <c r="I19" i="6" s="1"/>
  <c r="H535" i="15"/>
  <c r="G19" i="6" s="1"/>
  <c r="K24" i="18"/>
  <c r="J587" i="15"/>
  <c r="J430" i="15"/>
  <c r="J381" i="15"/>
  <c r="K26" i="18" s="1"/>
  <c r="H267" i="15"/>
  <c r="F54" i="5" s="1"/>
  <c r="J187" i="15"/>
  <c r="J189" i="15" s="1"/>
  <c r="H53" i="5" s="1"/>
  <c r="H187" i="15"/>
  <c r="H189" i="15" s="1"/>
  <c r="F53" i="5" s="1"/>
  <c r="H140" i="15"/>
  <c r="H142" i="15" s="1"/>
  <c r="F52" i="5" s="1"/>
  <c r="J140" i="15"/>
  <c r="J142" i="15" s="1"/>
  <c r="H52" i="5" s="1"/>
  <c r="H28" i="15"/>
  <c r="F42" i="5" s="1"/>
  <c r="J28" i="15"/>
  <c r="H42" i="5" s="1"/>
  <c r="K34" i="18"/>
  <c r="H81" i="15"/>
  <c r="H84" i="15" s="1"/>
  <c r="K33" i="18"/>
  <c r="J81" i="15"/>
  <c r="J84" i="15" s="1"/>
  <c r="L45" i="12"/>
  <c r="H237" i="11"/>
  <c r="J225" i="11"/>
  <c r="J226" i="11" s="1"/>
  <c r="H14" i="5" s="1"/>
  <c r="H17" i="5" s="1"/>
  <c r="G9" i="6"/>
  <c r="E138" i="17"/>
  <c r="G114" i="17"/>
  <c r="F8" i="5"/>
  <c r="H45" i="15"/>
  <c r="H116" i="15"/>
  <c r="H147" i="15"/>
  <c r="H231" i="15"/>
  <c r="H114" i="17"/>
  <c r="F153" i="17"/>
  <c r="H13" i="15"/>
  <c r="H273" i="15"/>
  <c r="I114" i="17"/>
  <c r="F37" i="5"/>
  <c r="H92" i="15"/>
  <c r="H206" i="15"/>
  <c r="H320" i="15"/>
  <c r="G124" i="17"/>
  <c r="H57" i="15"/>
  <c r="H80" i="15"/>
  <c r="H137" i="15"/>
  <c r="H159" i="15"/>
  <c r="H253" i="15"/>
  <c r="J42" i="9"/>
  <c r="I16" i="8" s="1"/>
  <c r="H42" i="9"/>
  <c r="G16" i="8" s="1"/>
  <c r="O17" i="18"/>
  <c r="D14" i="12"/>
  <c r="J13" i="15"/>
  <c r="J569" i="15"/>
  <c r="H569" i="15" s="1"/>
  <c r="B15" i="7"/>
  <c r="J456" i="15"/>
  <c r="H456" i="15" s="1"/>
  <c r="J242" i="11"/>
  <c r="AD11" i="13"/>
  <c r="J21" i="15"/>
  <c r="J137" i="15"/>
  <c r="F8" i="17"/>
  <c r="D19" i="12"/>
  <c r="I10" i="8"/>
  <c r="G10" i="8" s="1"/>
  <c r="J191" i="11"/>
  <c r="J33" i="15"/>
  <c r="N17" i="18"/>
  <c r="F32" i="17"/>
  <c r="F34" i="17" s="1"/>
  <c r="H116" i="17"/>
  <c r="D118" i="17"/>
  <c r="J118" i="17" s="1"/>
  <c r="AB22" i="13"/>
  <c r="AB59" i="13"/>
  <c r="AB14" i="13"/>
  <c r="AB19" i="13" s="1"/>
  <c r="AB64" i="13"/>
  <c r="J44" i="12"/>
  <c r="G20" i="12"/>
  <c r="G25" i="12" s="1"/>
  <c r="I44" i="12"/>
  <c r="H20" i="12"/>
  <c r="H25" i="12" s="1"/>
  <c r="H45" i="12" s="1"/>
  <c r="L44" i="12"/>
  <c r="F64" i="17" l="1"/>
  <c r="H219" i="11"/>
  <c r="H268" i="11"/>
  <c r="B33" i="7"/>
  <c r="N11" i="14"/>
  <c r="H232" i="11"/>
  <c r="H242" i="11"/>
  <c r="D45" i="12"/>
  <c r="C119" i="17"/>
  <c r="C118" i="17" s="1"/>
  <c r="C117" i="17" s="1"/>
  <c r="C116" i="17" s="1"/>
  <c r="C115" i="17" s="1"/>
  <c r="H129" i="17"/>
  <c r="H204" i="11"/>
  <c r="H277" i="11"/>
  <c r="D35" i="12"/>
  <c r="F89" i="17"/>
  <c r="F91" i="17" s="1"/>
  <c r="H305" i="15"/>
  <c r="H191" i="11"/>
  <c r="D25" i="12"/>
  <c r="D39" i="12"/>
  <c r="H67" i="15"/>
  <c r="D95" i="12"/>
  <c r="AB11" i="13"/>
  <c r="H194" i="15"/>
  <c r="H104" i="15"/>
  <c r="H119" i="17"/>
  <c r="J119" i="17"/>
  <c r="I119" i="17"/>
  <c r="H117" i="17"/>
  <c r="I117" i="17"/>
  <c r="G39" i="12"/>
  <c r="O39" i="12" s="1"/>
  <c r="G34" i="18"/>
  <c r="G33" i="18"/>
  <c r="G13" i="6"/>
  <c r="G31" i="18"/>
  <c r="M31" i="18" s="1"/>
  <c r="J232" i="11"/>
  <c r="J492" i="15"/>
  <c r="H492" i="15" s="1"/>
  <c r="J578" i="15"/>
  <c r="H578" i="15" s="1"/>
  <c r="J182" i="15"/>
  <c r="J285" i="15"/>
  <c r="J642" i="15"/>
  <c r="H642" i="15" s="1"/>
  <c r="H540" i="15"/>
  <c r="J147" i="15"/>
  <c r="J320" i="15"/>
  <c r="H37" i="5"/>
  <c r="J560" i="15"/>
  <c r="H560" i="15" s="1"/>
  <c r="H589" i="15"/>
  <c r="B19" i="7"/>
  <c r="J57" i="15"/>
  <c r="J194" i="15"/>
  <c r="H491" i="15"/>
  <c r="J277" i="11"/>
  <c r="F20" i="18"/>
  <c r="J20" i="18"/>
  <c r="H182" i="11"/>
  <c r="H559" i="15"/>
  <c r="F33" i="18"/>
  <c r="F32" i="18"/>
  <c r="F31" i="18"/>
  <c r="F42" i="18"/>
  <c r="F41" i="18"/>
  <c r="F40" i="18"/>
  <c r="F35" i="18"/>
  <c r="F39" i="18"/>
  <c r="F38" i="18"/>
  <c r="F37" i="18"/>
  <c r="B11" i="7"/>
  <c r="H8" i="17"/>
  <c r="B24" i="7"/>
  <c r="H455" i="15"/>
  <c r="D34" i="12"/>
  <c r="J268" i="11"/>
  <c r="J80" i="15"/>
  <c r="B8" i="4"/>
  <c r="B28" i="7"/>
  <c r="H33" i="15"/>
  <c r="H21" i="15"/>
  <c r="H259" i="11"/>
  <c r="O44" i="12"/>
  <c r="H24" i="5" s="1"/>
  <c r="H34" i="5" s="1"/>
  <c r="G16" i="18" s="1"/>
  <c r="N35" i="14"/>
  <c r="N58" i="14" s="1"/>
  <c r="J219" i="11"/>
  <c r="J10" i="9"/>
  <c r="J104" i="15"/>
  <c r="J607" i="15"/>
  <c r="H607" i="15" s="1"/>
  <c r="R11" i="13"/>
  <c r="D30" i="12"/>
  <c r="F11" i="13"/>
  <c r="J590" i="15"/>
  <c r="H590" i="15" s="1"/>
  <c r="J470" i="15"/>
  <c r="H470" i="15" s="1"/>
  <c r="H445" i="15"/>
  <c r="J231" i="15"/>
  <c r="H334" i="15"/>
  <c r="J204" i="11"/>
  <c r="J206" i="15"/>
  <c r="D44" i="12"/>
  <c r="H8" i="5"/>
  <c r="J16" i="18" s="1"/>
  <c r="H641" i="15"/>
  <c r="H469" i="15"/>
  <c r="H577" i="15"/>
  <c r="J67" i="15"/>
  <c r="J439" i="15"/>
  <c r="H439" i="15" s="1"/>
  <c r="H568" i="15"/>
  <c r="H386" i="15"/>
  <c r="J45" i="15"/>
  <c r="H515" i="15"/>
  <c r="J305" i="15"/>
  <c r="J387" i="15"/>
  <c r="H387" i="15" s="1"/>
  <c r="J446" i="15"/>
  <c r="H446" i="15" s="1"/>
  <c r="J253" i="15"/>
  <c r="J273" i="15"/>
  <c r="F155" i="17"/>
  <c r="J116" i="15"/>
  <c r="J516" i="15"/>
  <c r="H516" i="15" s="1"/>
  <c r="I9" i="6"/>
  <c r="F26" i="18" s="1"/>
  <c r="J541" i="15"/>
  <c r="H541" i="15" s="1"/>
  <c r="H438" i="15"/>
  <c r="J159" i="15"/>
  <c r="J335" i="15"/>
  <c r="H335" i="15" s="1"/>
  <c r="J218" i="15"/>
  <c r="J284" i="11"/>
  <c r="H606" i="15"/>
  <c r="J92" i="15"/>
  <c r="J259" i="11"/>
  <c r="M19" i="18"/>
  <c r="K25" i="18"/>
  <c r="AB68" i="13"/>
  <c r="AB75" i="13"/>
  <c r="AD36" i="13"/>
  <c r="AD78" i="13" s="1"/>
  <c r="F57" i="5"/>
  <c r="F30" i="5"/>
  <c r="F32" i="5" s="1"/>
  <c r="AB50" i="13"/>
  <c r="O19" i="18"/>
  <c r="AB34" i="13"/>
  <c r="AB36" i="13" s="1"/>
  <c r="Z36" i="13"/>
  <c r="Z78" i="13" s="1"/>
  <c r="AB57" i="13"/>
  <c r="AB62" i="13"/>
  <c r="J78" i="13"/>
  <c r="K39" i="18"/>
  <c r="H47" i="5"/>
  <c r="K32" i="18"/>
  <c r="N32" i="18" s="1"/>
  <c r="I13" i="6"/>
  <c r="G26" i="18" s="1"/>
  <c r="G30" i="18" s="1"/>
  <c r="O20" i="18"/>
  <c r="N20" i="18"/>
  <c r="F47" i="5"/>
  <c r="K27" i="18"/>
  <c r="F17" i="18"/>
  <c r="J17" i="18"/>
  <c r="J15" i="18"/>
  <c r="F15" i="18"/>
  <c r="D120" i="17"/>
  <c r="P78" i="13"/>
  <c r="J86" i="15"/>
  <c r="H51" i="5" s="1"/>
  <c r="H59" i="5" s="1"/>
  <c r="H86" i="15"/>
  <c r="F51" i="5" s="1"/>
  <c r="H225" i="11"/>
  <c r="I129" i="17" s="1"/>
  <c r="F19" i="18"/>
  <c r="I118" i="17"/>
  <c r="H118" i="17"/>
  <c r="H74" i="17"/>
  <c r="J116" i="17"/>
  <c r="J120" i="17" s="1"/>
  <c r="I124" i="17" s="1"/>
  <c r="I127" i="17" s="1"/>
  <c r="O25" i="12"/>
  <c r="J19" i="18" l="1"/>
  <c r="K117" i="17"/>
  <c r="F16" i="18"/>
  <c r="J18" i="18"/>
  <c r="F18" i="18"/>
  <c r="F34" i="18" s="1"/>
  <c r="J34" i="18" s="1"/>
  <c r="H120" i="17"/>
  <c r="G126" i="17" s="1"/>
  <c r="G130" i="17" s="1"/>
  <c r="O31" i="18"/>
  <c r="N31" i="18"/>
  <c r="G45" i="12"/>
  <c r="O45" i="12"/>
  <c r="F24" i="5" s="1"/>
  <c r="I17" i="6"/>
  <c r="I20" i="6" s="1"/>
  <c r="I23" i="6" s="1"/>
  <c r="I27" i="6" s="1"/>
  <c r="I14" i="8" s="1"/>
  <c r="I17" i="8" s="1"/>
  <c r="I63" i="8" s="1"/>
  <c r="I65" i="8" s="1"/>
  <c r="K18" i="18" s="1"/>
  <c r="G17" i="6"/>
  <c r="G20" i="6" s="1"/>
  <c r="G23" i="6" s="1"/>
  <c r="G27" i="6" s="1"/>
  <c r="N28" i="7" s="1"/>
  <c r="P28" i="7" s="1"/>
  <c r="G21" i="18"/>
  <c r="G25" i="18" s="1"/>
  <c r="M21" i="18" s="1"/>
  <c r="J32" i="18"/>
  <c r="J31" i="18"/>
  <c r="J26" i="18"/>
  <c r="J27" i="18" s="1"/>
  <c r="J28" i="18" s="1"/>
  <c r="J29" i="18" s="1"/>
  <c r="F59" i="5"/>
  <c r="I131" i="17"/>
  <c r="AB78" i="13"/>
  <c r="M39" i="18"/>
  <c r="N39" i="18"/>
  <c r="O39" i="18"/>
  <c r="K30" i="18"/>
  <c r="O26" i="18" s="1"/>
  <c r="O32" i="18"/>
  <c r="M32" i="18"/>
  <c r="M33" i="18"/>
  <c r="O33" i="18"/>
  <c r="N33" i="18"/>
  <c r="N34" i="18"/>
  <c r="O34" i="18"/>
  <c r="M34" i="18"/>
  <c r="H226" i="11"/>
  <c r="F14" i="5" s="1"/>
  <c r="F17" i="5" s="1"/>
  <c r="J22" i="18"/>
  <c r="J23" i="18" s="1"/>
  <c r="J24" i="18" s="1"/>
  <c r="J21" i="18"/>
  <c r="F21" i="18"/>
  <c r="H75" i="17"/>
  <c r="N18" i="18" l="1"/>
  <c r="O18" i="18"/>
  <c r="M18" i="18"/>
  <c r="O21" i="18"/>
  <c r="N19" i="7"/>
  <c r="N24" i="7" s="1"/>
  <c r="N33" i="7" s="1"/>
  <c r="N21" i="18"/>
  <c r="F34" i="5"/>
  <c r="G15" i="18" s="1"/>
  <c r="G14" i="8"/>
  <c r="G17" i="8" s="1"/>
  <c r="N26" i="18"/>
  <c r="M26" i="18"/>
  <c r="J33" i="18"/>
  <c r="J35" i="18" s="1"/>
  <c r="J37" i="18" s="1"/>
  <c r="J38" i="18" s="1"/>
  <c r="J39" i="18" s="1"/>
  <c r="J40" i="18" s="1"/>
  <c r="J41" i="18" s="1"/>
  <c r="J42" i="18" s="1"/>
  <c r="H76" i="17"/>
  <c r="H81" i="17"/>
  <c r="P19" i="7" l="1"/>
  <c r="P24" i="7" s="1"/>
  <c r="H64" i="5" s="1"/>
  <c r="H66" i="5" s="1"/>
  <c r="K16" i="18" s="1"/>
  <c r="M16" i="18" s="1"/>
  <c r="H85" i="17"/>
  <c r="F36" i="18"/>
  <c r="J36" i="18"/>
  <c r="O16" i="18" l="1"/>
  <c r="N16" i="18"/>
  <c r="P33" i="7"/>
  <c r="F64" i="5" s="1"/>
  <c r="F66" i="5" s="1"/>
  <c r="K15" i="18" s="1"/>
  <c r="M15" i="18" s="1"/>
  <c r="O15" i="18" l="1"/>
  <c r="N1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samiraa</author>
    <author>sara</author>
  </authors>
  <commentList>
    <comment ref="D220" authorId="0" shapeId="0" xr:uid="{00000000-0006-0000-0A00-000001000000}">
      <text>
        <r>
          <rPr>
            <sz val="8"/>
            <color indexed="81"/>
            <rFont val="Tahoma"/>
            <family val="2"/>
          </rPr>
          <t xml:space="preserve">לא כולל מע"מ 
וללא יתרת רשויות מקומיות 
</t>
        </r>
      </text>
    </comment>
    <comment ref="D222" authorId="1" shapeId="0" xr:uid="{00000000-0006-0000-0A00-000002000000}">
      <text>
        <r>
          <rPr>
            <sz val="8"/>
            <color indexed="81"/>
            <rFont val="Tahoma"/>
            <family val="2"/>
          </rPr>
          <t>לא</t>
        </r>
        <r>
          <rPr>
            <b/>
            <sz val="8"/>
            <color indexed="81"/>
            <rFont val="Tahoma"/>
            <family val="2"/>
          </rPr>
          <t xml:space="preserve"> </t>
        </r>
        <r>
          <rPr>
            <sz val="8"/>
            <color indexed="81"/>
            <rFont val="Tahoma"/>
            <family val="2"/>
          </rPr>
          <t>כולל</t>
        </r>
        <r>
          <rPr>
            <b/>
            <sz val="8"/>
            <color indexed="81"/>
            <rFont val="Tahoma"/>
            <family val="2"/>
          </rPr>
          <t xml:space="preserve"> </t>
        </r>
        <r>
          <rPr>
            <sz val="8"/>
            <color indexed="81"/>
            <rFont val="Tahoma"/>
            <family val="2"/>
          </rPr>
          <t xml:space="preserve">מע"מ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Abu-Rakia Samira</author>
  </authors>
  <commentList>
    <comment ref="D50" authorId="0" shapeId="0" xr:uid="{00000000-0006-0000-0B00-000001000000}">
      <text>
        <r>
          <rPr>
            <sz val="9"/>
            <color indexed="81"/>
            <rFont val="Tahoma"/>
            <family val="2"/>
          </rPr>
          <t xml:space="preserve">נכסים שהופחתו במלואם .ועדיין מופיעים בעלות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samiraa</author>
    <author>BackUp</author>
  </authors>
  <commentList>
    <comment ref="D476" authorId="0" shapeId="0" xr:uid="{00000000-0006-0000-0E00-000001000000}">
      <text>
        <r>
          <rPr>
            <sz val="8"/>
            <color indexed="81"/>
            <rFont val="Tahoma"/>
            <family val="2"/>
          </rPr>
          <t xml:space="preserve">יש לרשום הכנסות אכיפה 
בברוטו במינוס
</t>
        </r>
      </text>
    </comment>
    <comment ref="D493" authorId="1" shapeId="0" xr:uid="{00000000-0006-0000-0E00-000002000000}">
      <text>
        <r>
          <rPr>
            <sz val="9"/>
            <color indexed="81"/>
            <rFont val="Tahoma"/>
            <family val="2"/>
          </rPr>
          <t>,שכר עובדי מטה הנהלה , מנכ"ל, משאבי אנוש ושכר, מהנדס ראשי,</t>
        </r>
        <r>
          <rPr>
            <b/>
            <sz val="9"/>
            <color indexed="81"/>
            <rFont val="Tahoma"/>
            <family val="2"/>
          </rPr>
          <t xml:space="preserve"> </t>
        </r>
        <r>
          <rPr>
            <sz val="9"/>
            <color indexed="81"/>
            <rFont val="Tahoma"/>
            <family val="2"/>
          </rPr>
          <t>כספים</t>
        </r>
      </text>
    </comment>
    <comment ref="D604" authorId="1" shapeId="0" xr:uid="{00000000-0006-0000-0E00-000003000000}">
      <text>
        <r>
          <rPr>
            <sz val="9"/>
            <color indexed="81"/>
            <rFont val="Tahoma"/>
            <family val="2"/>
          </rPr>
          <t>הכנסה תרשם 
במינוס 
הוצאה בפלוס</t>
        </r>
      </text>
    </comment>
    <comment ref="D639" authorId="1" shapeId="0" xr:uid="{00000000-0006-0000-0E00-000004000000}">
      <text>
        <r>
          <rPr>
            <sz val="9"/>
            <color indexed="81"/>
            <rFont val="Tahoma"/>
            <family val="2"/>
          </rPr>
          <t>יתרה בחובה תרשם בפלוס יתרת זכות במינוס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samiraa</author>
  </authors>
  <commentList>
    <comment ref="E103" authorId="0" shapeId="0" xr:uid="{00000000-0006-0000-1000-000001000000}">
      <text>
        <r>
          <rPr>
            <b/>
            <sz val="14"/>
            <color indexed="81"/>
            <rFont val="Tahoma"/>
            <family val="2"/>
          </rPr>
          <t>samiraa:</t>
        </r>
        <r>
          <rPr>
            <sz val="14"/>
            <color indexed="81"/>
            <rFont val="Tahoma"/>
            <family val="2"/>
          </rPr>
          <t xml:space="preserve">
זיכוי במינוס 
הגדלת חיוב בפלוס
</t>
        </r>
      </text>
    </comment>
  </commentList>
</comments>
</file>

<file path=xl/sharedStrings.xml><?xml version="1.0" encoding="utf-8"?>
<sst xmlns="http://schemas.openxmlformats.org/spreadsheetml/2006/main" count="1476" uniqueCount="898">
  <si>
    <t>הנחיות</t>
  </si>
  <si>
    <t>תוכן עניינים</t>
  </si>
  <si>
    <t>סמל</t>
  </si>
  <si>
    <t>תיאור</t>
  </si>
  <si>
    <t>ניתן להקלדה (כן/לא)</t>
  </si>
  <si>
    <t>כן</t>
  </si>
  <si>
    <t>תא מחושב אוטומטית</t>
  </si>
  <si>
    <t>לא</t>
  </si>
  <si>
    <t>סיכום אוטומטי של טור או שורה</t>
  </si>
  <si>
    <t>(***)</t>
  </si>
  <si>
    <t>מי ברק בע"מ</t>
  </si>
  <si>
    <t>הרי נצרת מפעלי מים וביוב בע"מ</t>
  </si>
  <si>
    <t>התנור מים וביוב בע"מ</t>
  </si>
  <si>
    <t>פרטי התאגיד</t>
  </si>
  <si>
    <t>חברת הגיחון בע"מ תאגיד המים והביוב של ירושלים</t>
  </si>
  <si>
    <t>יובלים אשדוד בע"מ</t>
  </si>
  <si>
    <t>יובלים בשומרון בע"מ</t>
  </si>
  <si>
    <t>כפרי גליל תחתון בע"מ</t>
  </si>
  <si>
    <t>מי חדרה בע"מ</t>
  </si>
  <si>
    <t>מי לוד בע"מ</t>
  </si>
  <si>
    <t>מי נתניה (2003) בע"מ</t>
  </si>
  <si>
    <t>מי עירון בע"מ</t>
  </si>
  <si>
    <t>מי ציונה בע"מ</t>
  </si>
  <si>
    <t>מי רקת  בע"מ</t>
  </si>
  <si>
    <t>מי שבע תאגיד המים והביוב לבאר שבע בע"מ</t>
  </si>
  <si>
    <t>מי שקמה תאגיד המים והביוב בע"מ</t>
  </si>
  <si>
    <t>מיתב מים תיעול וביוב בע"מ</t>
  </si>
  <si>
    <t>מניב ראשון בע"מ</t>
  </si>
  <si>
    <t>עין נטפים מפעלי מים וביוב אילת בע"מ</t>
  </si>
  <si>
    <t>פלג הגליל החברה האזורית למים וביוב בע"מ</t>
  </si>
  <si>
    <t>תמ"ר תאגיד מים רמלה בע"מ</t>
  </si>
  <si>
    <t>מי מודיעין בע"מ</t>
  </si>
  <si>
    <t>מעיינות זיו בע"מ</t>
  </si>
  <si>
    <t>מעיינות אתא בע"מ</t>
  </si>
  <si>
    <t>מי רעננה בע"מ</t>
  </si>
  <si>
    <t>מי קריית גת בע"מ</t>
  </si>
  <si>
    <t>מי הרצליה בע"מ</t>
  </si>
  <si>
    <t>שרונים בע"מ</t>
  </si>
  <si>
    <t>מי כרמל בע"מ</t>
  </si>
  <si>
    <t>מי יבנה בע"מ</t>
  </si>
  <si>
    <t>עין כרמים בע"מ</t>
  </si>
  <si>
    <t>מי רהט בע"מ</t>
  </si>
  <si>
    <t>עין אפק בע"מ</t>
  </si>
  <si>
    <t>פלגי מוצקין בע"מ</t>
  </si>
  <si>
    <t>מי אביבים 2010 בע"מ</t>
  </si>
  <si>
    <t>מעיינות השרון בע"מ</t>
  </si>
  <si>
    <t>מי גבעתיים בע"מ</t>
  </si>
  <si>
    <t>מי בת ים בע"מ</t>
  </si>
  <si>
    <t>מי אונו בע"מ</t>
  </si>
  <si>
    <t>סובב שפרעם בע"מ</t>
  </si>
  <si>
    <t>מי עכו בע"מ</t>
  </si>
  <si>
    <t>מי הוד השרון בע"מ</t>
  </si>
  <si>
    <t>אל עין בע"מ</t>
  </si>
  <si>
    <t>מי גליל בע"מ</t>
  </si>
  <si>
    <t>מי אשקלון בע"מ</t>
  </si>
  <si>
    <t>מעיינות הדרום בע"מ</t>
  </si>
  <si>
    <t>מעיינות העמקים בע"מ</t>
  </si>
  <si>
    <t>מי שמש בע"מ</t>
  </si>
  <si>
    <t>מעינות המשולש בע"מ</t>
  </si>
  <si>
    <t>נווה מדבר בע"מ</t>
  </si>
  <si>
    <t>פלגי השרון בע"מ</t>
  </si>
  <si>
    <t>הבאר השלישית תאגיד המים רחובות בע"מ</t>
  </si>
  <si>
    <t>פרטים על התאגיד</t>
  </si>
  <si>
    <t>חוות דעת רואה החשבון</t>
  </si>
  <si>
    <t>תזרים מזומנים</t>
  </si>
  <si>
    <t>נספח א לתזרים מזומנים</t>
  </si>
  <si>
    <t>נספח ב לתזרים מזומנים</t>
  </si>
  <si>
    <t>ביאורים לדוחות הכספיים</t>
  </si>
  <si>
    <t>ביאורים 1-9</t>
  </si>
  <si>
    <t>ביאורים 10-11</t>
  </si>
  <si>
    <t>ביאורים 12-29</t>
  </si>
  <si>
    <t>תמצית דוח דירקטוריון</t>
  </si>
  <si>
    <t>דוח הצלבות</t>
  </si>
  <si>
    <t>תוכן ענינים</t>
  </si>
  <si>
    <t>נכסים</t>
  </si>
  <si>
    <t>ביאור</t>
  </si>
  <si>
    <t>רכוש שוטף</t>
  </si>
  <si>
    <t xml:space="preserve">מזומנים ושווי מזומנים </t>
  </si>
  <si>
    <t>השקעות בניירות ערך והשקעות אחרות לזמן קצר</t>
  </si>
  <si>
    <t>רשות מקומית - חשבון שוטף</t>
  </si>
  <si>
    <t>צרכנים</t>
  </si>
  <si>
    <t>חייבים  שונים</t>
  </si>
  <si>
    <t>מלאי</t>
  </si>
  <si>
    <t>סה"כ רכוש שוטף</t>
  </si>
  <si>
    <t>חייבים, השקעות והלוואות לזמן ארוך</t>
  </si>
  <si>
    <t>השקעה בחברות מוחזקות</t>
  </si>
  <si>
    <t>רכוש קבוע</t>
  </si>
  <si>
    <t>10פירוט</t>
  </si>
  <si>
    <t>רכוש קבוע בהקמה</t>
  </si>
  <si>
    <t>11פירוט</t>
  </si>
  <si>
    <t>רכוש אחר והוצאות נדחות</t>
  </si>
  <si>
    <t>זכויות מים</t>
  </si>
  <si>
    <t>מיסים נדחים לזמן ארוך</t>
  </si>
  <si>
    <t>הוצאות נדחות ורכוש אחר</t>
  </si>
  <si>
    <t>סך אקטיב</t>
  </si>
  <si>
    <t>התחייבויות</t>
  </si>
  <si>
    <t>התחייבויות שוטפות</t>
  </si>
  <si>
    <t>אשראי מתאגידים בנקאיים ואחרים לרבות חלויות שוטפות</t>
  </si>
  <si>
    <t>חלויות שוטפות בגין אג"ח</t>
  </si>
  <si>
    <t>ספקים ונותני שרותים</t>
  </si>
  <si>
    <t>עובדים ומוסדות בגין שכר</t>
  </si>
  <si>
    <t>זכאים שונים</t>
  </si>
  <si>
    <t>התחייבויות לזמן ארוך</t>
  </si>
  <si>
    <t>הלוואות לזמן ארוך - בנקים</t>
  </si>
  <si>
    <t>17א</t>
  </si>
  <si>
    <t>מלוות ביוב מוסבות מרשויות</t>
  </si>
  <si>
    <t>17ב</t>
  </si>
  <si>
    <t>הלוואות לזמן ארוך - בעלים</t>
  </si>
  <si>
    <t>17ג</t>
  </si>
  <si>
    <t xml:space="preserve">הכנסות נדחות </t>
  </si>
  <si>
    <t>אגרות חוב</t>
  </si>
  <si>
    <t>התחייבויות בשל סיום יחסי עובד מעביד</t>
  </si>
  <si>
    <t>עתודה למס</t>
  </si>
  <si>
    <t>התחיבויות תלויות , התקשרויות ושיעבודים</t>
  </si>
  <si>
    <t xml:space="preserve">הון עצמי </t>
  </si>
  <si>
    <t>הון עצמי</t>
  </si>
  <si>
    <t>סך פסיב</t>
  </si>
  <si>
    <t>יו"ר דירקטוריון</t>
  </si>
  <si>
    <t>מנכ"ל</t>
  </si>
  <si>
    <t>סמנכ"ל כספים</t>
  </si>
  <si>
    <t>הכנסות משירותי מים וביוב</t>
  </si>
  <si>
    <t>עלות השירותים</t>
  </si>
  <si>
    <t>רווח (הפסד) גולמי</t>
  </si>
  <si>
    <t>עלויות גביה וחובות מסופקים</t>
  </si>
  <si>
    <t>הוצאות הנהלה וכלליות</t>
  </si>
  <si>
    <t>רווח (הפסד) מפעולות לפני הוצאות מימון</t>
  </si>
  <si>
    <t>הכנסות (הוצאות) מימון, נטו</t>
  </si>
  <si>
    <t xml:space="preserve">רווח (הפסד) לאחר מימון </t>
  </si>
  <si>
    <t>הכנסות (הוצאות) אחרות, נטו</t>
  </si>
  <si>
    <t>רווח (הפסד) לפני מיסים על הכנסה</t>
  </si>
  <si>
    <t>הכנסות (הוצאות) מיסים על הכנסה</t>
  </si>
  <si>
    <t>חלק החברה ברווח (הפסד) חברות כלולות</t>
  </si>
  <si>
    <t>רווח (הפסד) לשנה</t>
  </si>
  <si>
    <t>הון מניות (ביאור 21)</t>
  </si>
  <si>
    <t>פרמיה על מניות</t>
  </si>
  <si>
    <t>קרן הון</t>
  </si>
  <si>
    <t>תקבולים ע"ח מניות</t>
  </si>
  <si>
    <t>רווח (הפסד) נצבר</t>
  </si>
  <si>
    <t>סה"כ</t>
  </si>
  <si>
    <t>השפעה מצטברת מתיקון טעות</t>
  </si>
  <si>
    <t>הנפקת הון מניות ושטרי הון, נטו</t>
  </si>
  <si>
    <t>דיבידנד שהוכרז/שולם</t>
  </si>
  <si>
    <t xml:space="preserve"> (***)</t>
  </si>
  <si>
    <t>נספח א'</t>
  </si>
  <si>
    <t>נספח ב</t>
  </si>
  <si>
    <t>תזרימי מזומנים בפעילות שוטפת</t>
  </si>
  <si>
    <t>רווח  נקי</t>
  </si>
  <si>
    <t xml:space="preserve">התאמות הדרושות כדי להציג את </t>
  </si>
  <si>
    <t>המזומנים מפעילות שוטפת - נספח א'</t>
  </si>
  <si>
    <t xml:space="preserve">מזומנים שנבעו (ששימשו) בפעילות שוטפת </t>
  </si>
  <si>
    <t>תזרימי המזומנים בפעילות השקעה</t>
  </si>
  <si>
    <t>השקעות בפיתוח תשתיות-</t>
  </si>
  <si>
    <t>מים</t>
  </si>
  <si>
    <t>ביוב</t>
  </si>
  <si>
    <t>מכון טיהור שפכים</t>
  </si>
  <si>
    <t>השקעות בתשתיות קיימות -</t>
  </si>
  <si>
    <t xml:space="preserve">מים </t>
  </si>
  <si>
    <t>השקעות ברכוש קבוע למעט תשתיות</t>
  </si>
  <si>
    <t>השקעות ברכוש אחר</t>
  </si>
  <si>
    <t>השקעה בחברה מוחזקת</t>
  </si>
  <si>
    <t>מענקי השקעה</t>
  </si>
  <si>
    <t>תקבולים בגין היטלי מים</t>
  </si>
  <si>
    <t>תקבולים בגין היטלי ביוב</t>
  </si>
  <si>
    <t>תמורה מקרן שיקום חדשה</t>
  </si>
  <si>
    <t>השקעות והלוואות לזמן ארוך</t>
  </si>
  <si>
    <t>השקעות והלוואות לקצר</t>
  </si>
  <si>
    <t>תמורה מימוש רכוש קבוע</t>
  </si>
  <si>
    <t>מזומנים ששימשו בפעילות השקעה</t>
  </si>
  <si>
    <t>תזרימי המזומנים בפעילות מימון</t>
  </si>
  <si>
    <t>תקבולים על חשבון מניות</t>
  </si>
  <si>
    <t>הנפקת מניות</t>
  </si>
  <si>
    <t>הנפקת אגרות חוב</t>
  </si>
  <si>
    <t>פרעון אגרות חוב</t>
  </si>
  <si>
    <t>תשלום דיבדנד</t>
  </si>
  <si>
    <t>קבלת הלוואות לזמן ארוך</t>
  </si>
  <si>
    <t>פרעון הלוואות לזמן ארוך</t>
  </si>
  <si>
    <t>גידול (קיטון) באשראי לזמן קצר</t>
  </si>
  <si>
    <t>הנפקת שטר הון</t>
  </si>
  <si>
    <t>מזומנים שנבעו (ששימשו) בפעילות מימון</t>
  </si>
  <si>
    <t>גידול (קיטון) ביתרת מזומנים ושווי מזומנים</t>
  </si>
  <si>
    <t>יתרת מזומנים ושווי מזומנים לתחילת השנה</t>
  </si>
  <si>
    <t>ייתרת מזומנים ושווי מזומנים לסוף השנה</t>
  </si>
  <si>
    <t>דוח תזרים מזומנים</t>
  </si>
  <si>
    <t xml:space="preserve">התאמות הדרושות כדי להציג את תזרימי המזומנים מפעילות שוטפת </t>
  </si>
  <si>
    <t>הוצאות והכנסות שאינן כרוכות בתזרימי מזומנים:</t>
  </si>
  <si>
    <t>פחת והפחתות</t>
  </si>
  <si>
    <t>קיטון (גידול) בשערוך הלוואות</t>
  </si>
  <si>
    <t>הפרשה לחובות מסופקים</t>
  </si>
  <si>
    <t>הפסד (רווח) הון</t>
  </si>
  <si>
    <t>גידול (קיטון) בהתחייבויות בשל סיום יחסי עובד מעביד</t>
  </si>
  <si>
    <t>קיטון (גידול) במיסים נדחים לזמן ארוך, נטו</t>
  </si>
  <si>
    <t>חלק החברה בריווחי חברה מאוחדת</t>
  </si>
  <si>
    <t>שיערוך ניירות ערך סחירים</t>
  </si>
  <si>
    <t>שינויים בסעיפי רכוש והתחייבויות:</t>
  </si>
  <si>
    <t>קיטון (גידול) ביתרות רשות מקומית</t>
  </si>
  <si>
    <t>קיטון (גידול) ביתרות צרכנים</t>
  </si>
  <si>
    <t>קיטון (גידול) בחייבים שונים</t>
  </si>
  <si>
    <t>קיטון (גידול) במלאי</t>
  </si>
  <si>
    <t>גידול (קיטון) בספקים ונותני שירותים</t>
  </si>
  <si>
    <t>מימוש הכנסות נדחות</t>
  </si>
  <si>
    <t xml:space="preserve">גידול (קיטון) ביתרות עובדים ומוסדות בגין שכר </t>
  </si>
  <si>
    <t xml:space="preserve">גידול (קיטון) בזכאים שונים </t>
  </si>
  <si>
    <t>נספח א</t>
  </si>
  <si>
    <t>פעולות שלא במזומן בתקופת הדוח:</t>
  </si>
  <si>
    <t>מספר הפעולה</t>
  </si>
  <si>
    <t>תיאור הפעולה</t>
  </si>
  <si>
    <t>ביאור 1.א'</t>
  </si>
  <si>
    <t>-</t>
  </si>
  <si>
    <t>כללי</t>
  </si>
  <si>
    <t>מועד ההקמה:</t>
  </si>
  <si>
    <t>מועד קבלת רישיון:</t>
  </si>
  <si>
    <t>מועד תחילת הפעילות:</t>
  </si>
  <si>
    <t>ביאור 1.ב'</t>
  </si>
  <si>
    <t>הגדרות</t>
  </si>
  <si>
    <t xml:space="preserve">בדוחות כספיים אלו:
</t>
  </si>
  <si>
    <t>החברה:</t>
  </si>
  <si>
    <t>צד קשור:</t>
  </si>
  <si>
    <t>מדד:</t>
  </si>
  <si>
    <t>הממונה:</t>
  </si>
  <si>
    <t>החוק:</t>
  </si>
  <si>
    <t>ביאור 2</t>
  </si>
  <si>
    <t>כללי דיווח ומדיניות חשבונאית</t>
  </si>
  <si>
    <t>מזומנים ושווי מזומנים כולל השקעות שנזילותן גבוהה, הכוללות פיקדונות בתאגידים בנקאיים לזמן קצר שתקופתם המקורית אינה עולה על שלושה חודשים ממועד ההשקעה ואשר אינם מוגבלים בשעבוד.</t>
  </si>
  <si>
    <t>המלאי נמדד לפי העלות או שווי מימוש כנמוך שבהם.</t>
  </si>
  <si>
    <t xml:space="preserve">    הרכב עלות הרכוש.</t>
  </si>
  <si>
    <t xml:space="preserve">    שעורי פחת.</t>
  </si>
  <si>
    <t xml:space="preserve">מסים נדחים מחושבים בשל הפרשים זמניים (temporary differences). הפרשים זמניים הינם הפרשים בין ערכם לצרכי מס של נכסים והתחייבויות לבין ערכם הכספי.
יתרות המסים הנדחים (נכס או התחייבות) מחושבות לפי שיעורי המס שיחולו בעת ניצול המסים הנדחים או בעת מימוש הטבות המס, בהתבסס על שיעורי המס וחוקי המס אשר נחקקו או אשר חקיקתם הושלמה למעשה,עד לתאריך המאזן.
מימוש המסים הנדחים מותנה בקיום רווחים חייבים במס בעתיד. על פי הערכת ההנהלה ותחזיתה, המתעדכנת תקופתית, מושגת רמת הצפי הדרושה בדבר ניצול יתרות מסים הנדחים לקבל, הכלולות בדוחות כספיים אלה.
</t>
  </si>
  <si>
    <t>הוצאות נרשמות על בסיס מצטבר.</t>
  </si>
  <si>
    <t>בעריכת הדוחות הכספיים בהתאם לכללי חשבונאות מקובלים נדרשת הנהלת החברה להשתמש באומדנים והערכות המשפיעים על הנתונים המדווחים של הנכסים וההתחייבויות, נכסים מותנים והתחייבויות תלויות, שניתן להם גילוי בדוחות הכספיים, וכן על נתוני הכנסות והוצאות בתקופת הדיווח. אשר על כן התוצאות בפועל עלולות להיות שונות מאומדנים אלו.</t>
  </si>
  <si>
    <t>יב. מטבע פעילות ומטבע הצגה</t>
  </si>
  <si>
    <t xml:space="preserve">הדוחות הכספיים מוצגים בש"ח, שהינו מטבע הפעילות של החברה, ומעוגלים לאלף הקרוב. השקל הינו המטבע שמייצג את הסביבה הכלכלית העיקרית בה פועלת החברה.
</t>
  </si>
  <si>
    <t>נכסים והתחייבויות הצמודים למדד המחירים לצרכן הותאמו למדד יום המאזן המתפרסם ב - 15   לחודש לאחריו (להלן: מדד בגין), או למדד הידוע ביום המאזן (להלן: המדד הידוע) בהתאם לתנאי העסקאות. 
נכסים והתחייבויות הנקובים במטבע חוץ או הצמודים אליו מוצגים לפי השער היציג ליום המאזן.
"מדד" – מדד המחירים לצרכן בנקודות.
"דולר" – השער היציג של ארה"ב ליום 31.12 כל שנה.</t>
  </si>
  <si>
    <t>מדד המחירים לצרכן</t>
  </si>
  <si>
    <t>שער חליפין דולר ארה"ב ל-1 ₪</t>
  </si>
  <si>
    <t>ביאור 3</t>
  </si>
  <si>
    <t>מזומנים ושווי מזומנים</t>
  </si>
  <si>
    <t>הרכב (*):</t>
  </si>
  <si>
    <t>ליום 31 בדצמבר</t>
  </si>
  <si>
    <t>מזומנים</t>
  </si>
  <si>
    <t>פקדונות</t>
  </si>
  <si>
    <t>(*)</t>
  </si>
  <si>
    <t xml:space="preserve">מזה פקדונות המיועדים לרכוש קבוע בהתאם לכללי חישוב עלות  : </t>
  </si>
  <si>
    <t>ביאור 4</t>
  </si>
  <si>
    <t>אג"ח</t>
  </si>
  <si>
    <t>מניות ותעודות סל</t>
  </si>
  <si>
    <t>קרנות נאמנות</t>
  </si>
  <si>
    <t>ביאור 5</t>
  </si>
  <si>
    <t>הרכב:</t>
  </si>
  <si>
    <t>*</t>
  </si>
  <si>
    <t xml:space="preserve">צרכנים </t>
  </si>
  <si>
    <t>כרטיסי אשראי</t>
  </si>
  <si>
    <t>הכנסות לקבל בגין אגרות מים וביוב</t>
  </si>
  <si>
    <t>המחאות לגבייה</t>
  </si>
  <si>
    <t>סעיף צרכנים לא כולל מע"מ לא כולל יתרת רשויות, סעיף הכנסות לקבל לא כולל מע"מ.</t>
  </si>
  <si>
    <t>הפרשה לחובות מסופקים-</t>
  </si>
  <si>
    <t>יתרת פתיחה</t>
  </si>
  <si>
    <t>הפרשה לחובות מסופקים שנוצרה השנה</t>
  </si>
  <si>
    <t>עדכון  הפרשה בגין שנים קודמות</t>
  </si>
  <si>
    <t>יתרת סגירה</t>
  </si>
  <si>
    <t>ביאור 6</t>
  </si>
  <si>
    <t>חייבים שונים</t>
  </si>
  <si>
    <t xml:space="preserve">עובדים </t>
  </si>
  <si>
    <t>מוסדות</t>
  </si>
  <si>
    <t>חברה מאוחדת</t>
  </si>
  <si>
    <t>הוצאות מראש</t>
  </si>
  <si>
    <t>מקדמות לספקים</t>
  </si>
  <si>
    <t>חייבים אחרים</t>
  </si>
  <si>
    <t>מענקי תיאגוד לקבל</t>
  </si>
  <si>
    <t>הכנסות לקבל-מענקים</t>
  </si>
  <si>
    <t>מסים נדחים</t>
  </si>
  <si>
    <t>ביאור 7</t>
  </si>
  <si>
    <t>מלאי מים</t>
  </si>
  <si>
    <t xml:space="preserve">מלאי </t>
  </si>
  <si>
    <t>(בניכוי הפרשה למלאי מת)</t>
  </si>
  <si>
    <t>ביאור 8</t>
  </si>
  <si>
    <t>שיעור ריבית</t>
  </si>
  <si>
    <t>חייבים אחרים לזמן ארוך</t>
  </si>
  <si>
    <t>% (***)</t>
  </si>
  <si>
    <t>השקעות לזמן ארוך</t>
  </si>
  <si>
    <t>ביאור 9</t>
  </si>
  <si>
    <t>השקעה בחברה מאוחדת /מוחזקת</t>
  </si>
  <si>
    <t>א.</t>
  </si>
  <si>
    <t>הרכב ההשקעה:</t>
  </si>
  <si>
    <t>עלות המניות</t>
  </si>
  <si>
    <t xml:space="preserve">חלק החברה בקרנות הון </t>
  </si>
  <si>
    <t>תשלומים על חשבון מניות</t>
  </si>
  <si>
    <t>חלק החברה (בהפסדים)/רווחים</t>
  </si>
  <si>
    <t>ב.</t>
  </si>
  <si>
    <t>ההפרש המקורי:</t>
  </si>
  <si>
    <t>הרכב</t>
  </si>
  <si>
    <t>עלות</t>
  </si>
  <si>
    <t>(פחת נצבר)</t>
  </si>
  <si>
    <t>ביאור 10</t>
  </si>
  <si>
    <t>מכוני טיהור שפכים</t>
  </si>
  <si>
    <t xml:space="preserve">מדי מים וקר"מ </t>
  </si>
  <si>
    <t>מבנים ושיפורים  במושכר</t>
  </si>
  <si>
    <t>פיתוח מערך מיחשוב</t>
  </si>
  <si>
    <t>כלי רכב</t>
  </si>
  <si>
    <t>מחשבים וציוד משרדי</t>
  </si>
  <si>
    <t>רכישות השנה</t>
  </si>
  <si>
    <t>נכסים שהועברו מהרשויות</t>
  </si>
  <si>
    <t>(גריעות השנה)</t>
  </si>
  <si>
    <t>**</t>
  </si>
  <si>
    <t>(בניכוי מענקים או השתתפות אחרים)</t>
  </si>
  <si>
    <t xml:space="preserve">נכסים מועברים מהרשויות </t>
  </si>
  <si>
    <t>(בניכוי מענקים)</t>
  </si>
  <si>
    <t>פחת נצבר</t>
  </si>
  <si>
    <t>פחת השנה</t>
  </si>
  <si>
    <t>(פחת נכסים שנגרעו)</t>
  </si>
  <si>
    <t>עלות מופחתת</t>
  </si>
  <si>
    <t xml:space="preserve">מתוכם נכסים שהופחתו במלואם </t>
  </si>
  <si>
    <t>כולל סך של______שהתקבלו מקרן שיקום חדשה.</t>
  </si>
  <si>
    <t>רכוש קבוע שהועבר מרשויות</t>
  </si>
  <si>
    <t>עלות 
באלפי ₪</t>
  </si>
  <si>
    <t>פחת נצבר
באלפי ₪</t>
  </si>
  <si>
    <t>נכסי מים</t>
  </si>
  <si>
    <t xml:space="preserve">בניכוי זכויות מים </t>
  </si>
  <si>
    <t xml:space="preserve">סה"כ  ר"ק מים </t>
  </si>
  <si>
    <t>נכסי ביוב</t>
  </si>
  <si>
    <t xml:space="preserve">מט"ש </t>
  </si>
  <si>
    <t>בתמורה להעברת והמחאת הממכר לתאגיד התחייב התאגיד כלפי העריה/יות כדלקמן:</t>
  </si>
  <si>
    <t>מועד חתימת ההסכם</t>
  </si>
  <si>
    <t>שם העריה מעבירת הנכסים</t>
  </si>
  <si>
    <t>שווי מניות שהוקצו</t>
  </si>
  <si>
    <t>שיעור המניות מסך התמורה</t>
  </si>
  <si>
    <t>הלוואת בעלים</t>
  </si>
  <si>
    <t>שיעור הלוואת הבעלים מסך התמורה</t>
  </si>
  <si>
    <t>ביאור 11</t>
  </si>
  <si>
    <t>רכוש בהקמה</t>
  </si>
  <si>
    <t>תוספות</t>
  </si>
  <si>
    <t>בניכוי</t>
  </si>
  <si>
    <t>(רכוש שהופעל במשך השנה)</t>
  </si>
  <si>
    <t>(מענקים  או השתתפות אחרים)</t>
  </si>
  <si>
    <t>באור 10-11</t>
  </si>
  <si>
    <t>ביאור 10 - רכוש קבוע - פירוט</t>
  </si>
  <si>
    <t>פחת שנצבר</t>
  </si>
  <si>
    <t>יתרה מופחתת</t>
  </si>
  <si>
    <t>נכסים שהועברו מהרשות</t>
  </si>
  <si>
    <t>גריעות</t>
  </si>
  <si>
    <t>מענקים מ- (*)</t>
  </si>
  <si>
    <t>הפקה</t>
  </si>
  <si>
    <t>קידוחים</t>
  </si>
  <si>
    <t>בארות - מבנה</t>
  </si>
  <si>
    <t>תחנות שאיבה</t>
  </si>
  <si>
    <t>ציוד לשעת חירום</t>
  </si>
  <si>
    <t>אחר (***)</t>
  </si>
  <si>
    <t>תשתיות מים</t>
  </si>
  <si>
    <t>בריכות</t>
  </si>
  <si>
    <t>מגדלים</t>
  </si>
  <si>
    <t>צינורות</t>
  </si>
  <si>
    <t>מלאי מחסנים</t>
  </si>
  <si>
    <t>מכונות ומכשירים</t>
  </si>
  <si>
    <t>ציוד מעבדה</t>
  </si>
  <si>
    <t>מיחשוב</t>
  </si>
  <si>
    <t>מוני מים</t>
  </si>
  <si>
    <t>סה"כ מים - הפקה ותשתיות</t>
  </si>
  <si>
    <t>תשתיות ביוב</t>
  </si>
  <si>
    <t>ציוד קדם טיפול</t>
  </si>
  <si>
    <t>מדי מים משוייכים</t>
  </si>
  <si>
    <t>מדי מים כלליים</t>
  </si>
  <si>
    <t xml:space="preserve">קר"מ </t>
  </si>
  <si>
    <t>מבנה משרדים ושיפורים במושכר</t>
  </si>
  <si>
    <t>מבנה מחסן</t>
  </si>
  <si>
    <t>משרדים</t>
  </si>
  <si>
    <t>מחשבים וריהוט ציוד</t>
  </si>
  <si>
    <t>מחשבים ריהוט וציוד</t>
  </si>
  <si>
    <t>נגררים</t>
  </si>
  <si>
    <t>ביאור 11 - רכוש בהקמה - פירוט</t>
  </si>
  <si>
    <t>רכוש שהופעל השנה</t>
  </si>
  <si>
    <t xml:space="preserve">מענקים </t>
  </si>
  <si>
    <t>ביאור 12</t>
  </si>
  <si>
    <t>:פירוט זכויות מים ועלותן</t>
  </si>
  <si>
    <t>הפחתת השנה</t>
  </si>
  <si>
    <t>ביאור 13</t>
  </si>
  <si>
    <t>אשראי מתאגידים בנקאיים ואחרים</t>
  </si>
  <si>
    <t>חלויות שוטפות של אשראי לזמן ארוך (ביאור 17 א')</t>
  </si>
  <si>
    <t>חלויות שוטפות של מלוות ביוב מוסבות לפרעון (ביאור 17 ב')</t>
  </si>
  <si>
    <t>חלויות שוטפות של הלוואות זמן ארוך-רשות מקומית (ביאור 17 ג')</t>
  </si>
  <si>
    <t>משיכת יתר</t>
  </si>
  <si>
    <t>הלוואות לזמן קצר מבנקים</t>
  </si>
  <si>
    <t>ביאור 14</t>
  </si>
  <si>
    <t>ספקים ונותני שירותים</t>
  </si>
  <si>
    <t>מקורות חברת מים בע"מ(1)</t>
  </si>
  <si>
    <t>מט"ש(1)</t>
  </si>
  <si>
    <t>ספקים ונותני שירותים(1)</t>
  </si>
  <si>
    <t>הוצאות לשלם (2)</t>
  </si>
  <si>
    <t>המחאות לפרעון</t>
  </si>
  <si>
    <t>אגודת מים שיתופית חקלאית</t>
  </si>
  <si>
    <t>לא כולל הוצאות לשלם</t>
  </si>
  <si>
    <t xml:space="preserve">הוצאות לשלם </t>
  </si>
  <si>
    <t>מקורות</t>
  </si>
  <si>
    <t>מט"ש</t>
  </si>
  <si>
    <t xml:space="preserve">הפרשה היטל הפקה </t>
  </si>
  <si>
    <t>הפרשה היזון חוזר</t>
  </si>
  <si>
    <t>הוצאות גביה</t>
  </si>
  <si>
    <t>אחרים</t>
  </si>
  <si>
    <t>ביאור 15</t>
  </si>
  <si>
    <t>מוסדות ועובדים בגין שכר</t>
  </si>
  <si>
    <t>הפרשה לחופשה</t>
  </si>
  <si>
    <t>ביאור 16</t>
  </si>
  <si>
    <t>הכנסות מראש</t>
  </si>
  <si>
    <t>הכנסות נדחות</t>
  </si>
  <si>
    <t>הוצאות לשלם</t>
  </si>
  <si>
    <t>ביאור 17א'</t>
  </si>
  <si>
    <t>א. הרכב:</t>
  </si>
  <si>
    <t>שעורי ריבית</t>
  </si>
  <si>
    <t>הלוואות צמודות מדד</t>
  </si>
  <si>
    <t>הלוואות צמודות מט"ח</t>
  </si>
  <si>
    <t>הלוואות לא צמודות</t>
  </si>
  <si>
    <t>(בניכוי חלויות שוטפות)</t>
  </si>
  <si>
    <t>מועדי פירעון הלוואות בנקים צמודות מדד</t>
  </si>
  <si>
    <t>שנה ראשונה</t>
  </si>
  <si>
    <t>שנה שניה</t>
  </si>
  <si>
    <t>שנה שלישית</t>
  </si>
  <si>
    <t>שנה רביעית</t>
  </si>
  <si>
    <t>שנה חמישית</t>
  </si>
  <si>
    <t>שנה שישית ואילך</t>
  </si>
  <si>
    <t>מועדי פירעון הלוואות בנקים צמודות מט"ח</t>
  </si>
  <si>
    <t>מועדי פירעון הלוואות בנקים לא צמודות</t>
  </si>
  <si>
    <t>ב. תנאי ההלוואות:</t>
  </si>
  <si>
    <t>ביאור 17ב'</t>
  </si>
  <si>
    <t>מלוות מוסבות מרשויות</t>
  </si>
  <si>
    <t>מלוות צמודות מדד</t>
  </si>
  <si>
    <t>מלוות לא צמודות</t>
  </si>
  <si>
    <t>מועדי פירעון מלוות צמודות מדד</t>
  </si>
  <si>
    <t xml:space="preserve">מועדי פירעון מלוות לא צמודות </t>
  </si>
  <si>
    <t>ב. תנאי המלוות:</t>
  </si>
  <si>
    <t>ביאור 17ג'</t>
  </si>
  <si>
    <t>הלוואות לזמן ארוך - רשות מקומית</t>
  </si>
  <si>
    <t>שטר הון</t>
  </si>
  <si>
    <t>מועדי פירעון הלוואות רשות מקומית צמודות מדד</t>
  </si>
  <si>
    <t>מועדי פירעון הלוואות רשות מקומית צמודות מט"ח</t>
  </si>
  <si>
    <t>מועדי פירעון הלוואות רשות מקומית לא צמודות</t>
  </si>
  <si>
    <t>מועדי פירעון שטר הון</t>
  </si>
  <si>
    <t>ב. תנאי ההלוואות ושטר הון:</t>
  </si>
  <si>
    <t>ביאור 18</t>
  </si>
  <si>
    <t xml:space="preserve">יתרת פתיחה הכנסות נדחות מהיטלים </t>
  </si>
  <si>
    <t>( בבניכוי - הכנסה שהוכרה)</t>
  </si>
  <si>
    <t>הכנסות נדחות שנוצרו השנה</t>
  </si>
  <si>
    <t>(בניכוי הכנסות שהוכרו השנה)</t>
  </si>
  <si>
    <t xml:space="preserve">יתרת הכנסות נדחות </t>
  </si>
  <si>
    <t xml:space="preserve">מענקי השקעות בתאגידים זכאים </t>
  </si>
  <si>
    <t>יתרת פתיחה הכנסות נדחות ממענקי השקעות</t>
  </si>
  <si>
    <t xml:space="preserve">הכנסות נדחות שנוצרו השנה ממענקי השקעות </t>
  </si>
  <si>
    <t>ביאור 19</t>
  </si>
  <si>
    <t>אג"ח יתרת פתיחה</t>
  </si>
  <si>
    <t>הצמדת קרן אג"ח</t>
  </si>
  <si>
    <t>הוצאות ניכיון</t>
  </si>
  <si>
    <t>פרעון קרן אג"ח</t>
  </si>
  <si>
    <t>מועדי פירעון האג"ח</t>
  </si>
  <si>
    <t>ב. תנאי האג"ח:</t>
  </si>
  <si>
    <t>ביאור 20</t>
  </si>
  <si>
    <t>התחייבויות בשל יחסי עובד ומעביד</t>
  </si>
  <si>
    <t>הפרשה לפיצויים</t>
  </si>
  <si>
    <t>(בניכוי:הפקדות בקופות פיצויים)</t>
  </si>
  <si>
    <t>ב. זכויות עובדים בגין פרישה:</t>
  </si>
  <si>
    <t>פירוט ההסכמים הצפויים בכל הנוגע לתנאי פרישת עובדים והשפעתם על התוצאות הכספיות:</t>
  </si>
  <si>
    <t>ביאור 21</t>
  </si>
  <si>
    <t>הון מניות</t>
  </si>
  <si>
    <t xml:space="preserve"> ליום 31 בדצמבר</t>
  </si>
  <si>
    <t>הון רשום -</t>
  </si>
  <si>
    <t>מניות רגילות 1 ₪ ע.נ (***)</t>
  </si>
  <si>
    <t>(***)מניות אחרות</t>
  </si>
  <si>
    <t>הון מונפק ונפרע -</t>
  </si>
  <si>
    <t>ביאור 22</t>
  </si>
  <si>
    <t>22.1.1</t>
  </si>
  <si>
    <t>הכנסות -</t>
  </si>
  <si>
    <t>מאגרות מים</t>
  </si>
  <si>
    <t>מהיטלי מים</t>
  </si>
  <si>
    <t xml:space="preserve">הכנסות משירותי תשתית </t>
  </si>
  <si>
    <t>הכנסות שונות</t>
  </si>
  <si>
    <t>22.1.2</t>
  </si>
  <si>
    <t>עלויות אספקה -</t>
  </si>
  <si>
    <t>משכורות ונלוות</t>
  </si>
  <si>
    <t>אנרגיה</t>
  </si>
  <si>
    <t xml:space="preserve">קבלני משנה רשת </t>
  </si>
  <si>
    <t xml:space="preserve">קבלני משנה מתקנים </t>
  </si>
  <si>
    <t>חומרים</t>
  </si>
  <si>
    <t>ארנונה</t>
  </si>
  <si>
    <t>ביטוח</t>
  </si>
  <si>
    <t>פחת זכויות מים</t>
  </si>
  <si>
    <t>פחת</t>
  </si>
  <si>
    <t>יעוץ מקצועי</t>
  </si>
  <si>
    <t xml:space="preserve">מוקד ערוני </t>
  </si>
  <si>
    <t>אחזקת רכב</t>
  </si>
  <si>
    <t>22.1.3</t>
  </si>
  <si>
    <t>עלויות הפקה ורכישה-</t>
  </si>
  <si>
    <t>רכישת מים ממקורות</t>
  </si>
  <si>
    <t>קבלני משנה</t>
  </si>
  <si>
    <t>הפרשה להיטל הפקה</t>
  </si>
  <si>
    <t xml:space="preserve">היטל הפקה בגין שנים קודמות  </t>
  </si>
  <si>
    <t>(***) הוצאות אחרות</t>
  </si>
  <si>
    <t>הוצאות בגין הפרשה להיזון חוזר</t>
  </si>
  <si>
    <t xml:space="preserve">הוצאות בגין הפרשה להיזון חוזר שנים קודמות </t>
  </si>
  <si>
    <t xml:space="preserve">מוקד תקלות </t>
  </si>
  <si>
    <t xml:space="preserve">הכנסות/הוצאות בגין שנים קודמות </t>
  </si>
  <si>
    <t>רווח (הפסד) גולמי מאספקת מים</t>
  </si>
  <si>
    <t>22.2.1</t>
  </si>
  <si>
    <t>מאגרות ביוב</t>
  </si>
  <si>
    <t>הכנסות משירותי תשתית(הולכה)</t>
  </si>
  <si>
    <t xml:space="preserve">הכנסות משפכי תעשיה </t>
  </si>
  <si>
    <t>מהיטלי ביוב</t>
  </si>
  <si>
    <t xml:space="preserve">הכנסות מט"ש ממשתמשים אחרים </t>
  </si>
  <si>
    <t>22.2.2</t>
  </si>
  <si>
    <t>עלויות איסוף והולכת שפכים -</t>
  </si>
  <si>
    <t>עלות איסוף שפכים</t>
  </si>
  <si>
    <t>אחזקה</t>
  </si>
  <si>
    <t>ייעוץ מקצועי</t>
  </si>
  <si>
    <t>22.2.3</t>
  </si>
  <si>
    <t>עלויות טיהור שפכים*</t>
  </si>
  <si>
    <t>פינוי בוצה</t>
  </si>
  <si>
    <t>הוצאות אחרות (אחזקה)</t>
  </si>
  <si>
    <t>עלות טיהור שפכים</t>
  </si>
  <si>
    <t>בניכוי:</t>
  </si>
  <si>
    <t>הכנסות ממכירת שפכים מטוהרים</t>
  </si>
  <si>
    <t>רווח (הפסד) גולמי משירותי ביוב</t>
  </si>
  <si>
    <t>רווח (הפסד) גולמי מתחזוקה שוטפת של מערכות תיעול וניקוז עירוניות</t>
  </si>
  <si>
    <t>הכנסות</t>
  </si>
  <si>
    <t>הוצאות</t>
  </si>
  <si>
    <t>רווח (הפסד) גולמי אחרות</t>
  </si>
  <si>
    <t>22.4.1</t>
  </si>
  <si>
    <t>הכנסות:</t>
  </si>
  <si>
    <t xml:space="preserve">ממזמיני עבודה </t>
  </si>
  <si>
    <t>מעמלות מגביית היטל בצורת</t>
  </si>
  <si>
    <t>הוצאות:</t>
  </si>
  <si>
    <t>הוצאות /הכנסות אחרות לא יעלו על 5% מסך הביאור.</t>
  </si>
  <si>
    <t>ביאור 23</t>
  </si>
  <si>
    <t>עלויות גבייה וחובות מסופקים</t>
  </si>
  <si>
    <t>עמלות לקבלן גביה</t>
  </si>
  <si>
    <t xml:space="preserve">הוצאות גביה היטלים </t>
  </si>
  <si>
    <t>הפקת דוחות</t>
  </si>
  <si>
    <t>גביה טלפונית</t>
  </si>
  <si>
    <t>חלוקת חשבונות</t>
  </si>
  <si>
    <t>(הכנסות מאכיפה )</t>
  </si>
  <si>
    <t>אכיפה וגביה קשה</t>
  </si>
  <si>
    <t>עמלות כרטיסי אשראי</t>
  </si>
  <si>
    <t>עמלות בנק הדואר</t>
  </si>
  <si>
    <t>הפרשה לחובות מסופקים ואבודים</t>
  </si>
  <si>
    <t>הוצאות שכר</t>
  </si>
  <si>
    <t>משרדיות ואחרות</t>
  </si>
  <si>
    <t>מיכון- גביה</t>
  </si>
  <si>
    <t xml:space="preserve">קריאת מדי מים </t>
  </si>
  <si>
    <t>ביאור 24</t>
  </si>
  <si>
    <t>הוצאות משרדיות</t>
  </si>
  <si>
    <t>דמי שכירות</t>
  </si>
  <si>
    <t>מסים עירוניים</t>
  </si>
  <si>
    <t>השתלמויות, כבודים ורווחה (*)</t>
  </si>
  <si>
    <t xml:space="preserve">מיכון-הנהלת חשבונות </t>
  </si>
  <si>
    <t xml:space="preserve">הוצאות משפטיות </t>
  </si>
  <si>
    <t xml:space="preserve">הוצאות משפטיות בגין גביית היטלים </t>
  </si>
  <si>
    <t xml:space="preserve">הפרשה בגין תביעות משפטיות </t>
  </si>
  <si>
    <t>אחזקת כלי רכב</t>
  </si>
  <si>
    <t xml:space="preserve">הוצאות מטה בגין היטלים </t>
  </si>
  <si>
    <t xml:space="preserve">פרסום ויחסי ציבור </t>
  </si>
  <si>
    <t xml:space="preserve">  (*)</t>
  </si>
  <si>
    <t xml:space="preserve">בסעיף זה יכללו כל ההוצות בגין כלל העובדים בחברה </t>
  </si>
  <si>
    <t>ביאור 25</t>
  </si>
  <si>
    <t>הכנסות (הוצאות) מימון נטו</t>
  </si>
  <si>
    <t>הכנסות מימון מלקוחות</t>
  </si>
  <si>
    <t xml:space="preserve">הכנסות מימון מפקדונות </t>
  </si>
  <si>
    <t xml:space="preserve">הכנסות מימון אחר </t>
  </si>
  <si>
    <t>הוצאות -</t>
  </si>
  <si>
    <t>ריבית על הלוואות לזמן ארוך:</t>
  </si>
  <si>
    <t>מהבנקים</t>
  </si>
  <si>
    <t>מהרשות המקומית</t>
  </si>
  <si>
    <t>ריבית לבנקים ולאשראי לזמן קצר</t>
  </si>
  <si>
    <t>ריבית למקורות חברת מים בע"מ</t>
  </si>
  <si>
    <t xml:space="preserve">עמלות בנק </t>
  </si>
  <si>
    <t>הוצאות מימון בגין האג"ח</t>
  </si>
  <si>
    <t>ביאור 26</t>
  </si>
  <si>
    <t>הכנסות אחרות</t>
  </si>
  <si>
    <t>הכנסות ממענקי תיאגוד</t>
  </si>
  <si>
    <t>הכנסות ממענקי השקעות</t>
  </si>
  <si>
    <t>רווח הון</t>
  </si>
  <si>
    <t>הכנסות/הוצאות בגין שנים קודמות (*)</t>
  </si>
  <si>
    <t>הכנסות בגין פירעון אג"ח</t>
  </si>
  <si>
    <t>עדכון הפרשה לחומ"ס בגין שנים קודמות</t>
  </si>
  <si>
    <t>עדכון הפרשה לעמלות גבייה בגין שנים קודמות</t>
  </si>
  <si>
    <t>הוצאות בגין פנסיה לרשות המקומית</t>
  </si>
  <si>
    <t xml:space="preserve"> (*)</t>
  </si>
  <si>
    <t xml:space="preserve">יש לפרט את הכנסות/הוצאות בגין שנים קודמות </t>
  </si>
  <si>
    <t>ביאור 27</t>
  </si>
  <si>
    <t xml:space="preserve">מיסים על הכנסה ומיסים נדחים </t>
  </si>
  <si>
    <t xml:space="preserve">    </t>
  </si>
  <si>
    <t>הרכב הוצאות מס:</t>
  </si>
  <si>
    <t>הוצאות מיסים שוטפים</t>
  </si>
  <si>
    <t>הוצאות /(הכנסות) מיסים נדחים, נטו</t>
  </si>
  <si>
    <t>ג.</t>
  </si>
  <si>
    <t xml:space="preserve">מיסים נדחים </t>
  </si>
  <si>
    <t xml:space="preserve">הכנסות/(הוצאות) </t>
  </si>
  <si>
    <t>(בניכוי מיסים נדחים לזמן קצר)</t>
  </si>
  <si>
    <t>ביאור 28</t>
  </si>
  <si>
    <t>פירוט הוצאות שכר</t>
  </si>
  <si>
    <t>באור</t>
  </si>
  <si>
    <t>אספקת מים</t>
  </si>
  <si>
    <t>עלויות הפקה</t>
  </si>
  <si>
    <t>שירותי ביוב</t>
  </si>
  <si>
    <t>טיהור שפכים</t>
  </si>
  <si>
    <t>הנהלה וכלליות</t>
  </si>
  <si>
    <t>שכר גביה</t>
  </si>
  <si>
    <t>שכר שהוון לרכוש קבוע</t>
  </si>
  <si>
    <t>שכר שנרשם במקום אחר</t>
  </si>
  <si>
    <t xml:space="preserve"> יעוץ משפטי ריטיינר </t>
  </si>
  <si>
    <t xml:space="preserve">יעוץ משפטי תביעות משפטיות </t>
  </si>
  <si>
    <t>יעוץ כלכלי/פיננסי</t>
  </si>
  <si>
    <t xml:space="preserve">בקורת </t>
  </si>
  <si>
    <t xml:space="preserve">יעוץ הנדסי </t>
  </si>
  <si>
    <t>אחר (*)</t>
  </si>
  <si>
    <t xml:space="preserve">סה"כ יעוץ </t>
  </si>
  <si>
    <t>(בניכוי ייעוץ שהוון לרכוש קבוע)</t>
  </si>
  <si>
    <t>סה"כ יעוץ שנרשם בדוח רווח והפסד</t>
  </si>
  <si>
    <t xml:space="preserve">לא יעלה על 10% מסך הוצאות היעוץ , אחרת נדרש פירוט </t>
  </si>
  <si>
    <t>ביאור 29</t>
  </si>
  <si>
    <t>יתרות ועסקאות עם בעלי עניין וצדדים קשורים</t>
  </si>
  <si>
    <t>א. בדוח רווח והפסד של התאגיד נכללו הכנסות והוצאות הנובעות מפעולות עם צדדים קשורים ובעלי עניין כדלקמן:</t>
  </si>
  <si>
    <t>(הכנסות מאגרות מים)</t>
  </si>
  <si>
    <t>(הכנסות מאגרות ביוב)</t>
  </si>
  <si>
    <t>(הכנסות ריבית על הלוואות לבעלי עניין)</t>
  </si>
  <si>
    <t>הוצאות ריבית על הלוואות מבעלי עניין</t>
  </si>
  <si>
    <t>(הכנסות ביוב מבעלי עניין)</t>
  </si>
  <si>
    <t>(הכנסות מים מבעלי עניין)</t>
  </si>
  <si>
    <t>הוצאות ארנונה לבעלי עניין</t>
  </si>
  <si>
    <t>עמלות גביה</t>
  </si>
  <si>
    <t>חמרים</t>
  </si>
  <si>
    <t xml:space="preserve">טיהור שפכים </t>
  </si>
  <si>
    <t>מיכון</t>
  </si>
  <si>
    <t>משרדיות</t>
  </si>
  <si>
    <t>מוקד עירוני</t>
  </si>
  <si>
    <t>הוצאות אחרות לבעלי עניין</t>
  </si>
  <si>
    <t>שכר דירקטורים</t>
  </si>
  <si>
    <t>רכישת נכסים מבעלי ענין</t>
  </si>
  <si>
    <t>חיובי רבית בגין חובות מים</t>
  </si>
  <si>
    <t>(הכנסות בגין היטלי פיתוח)</t>
  </si>
  <si>
    <t>ב.  בדוח הכספי נכללו יתרות בגין צדדים קשורים כדלקמן:</t>
  </si>
  <si>
    <t>חייבים</t>
  </si>
  <si>
    <t>זכאים</t>
  </si>
  <si>
    <t xml:space="preserve">חייבים בגין צריכת מים </t>
  </si>
  <si>
    <t>ספקים</t>
  </si>
  <si>
    <t>הלוואות</t>
  </si>
  <si>
    <t>ג.   פירוט לגבי חוזים ועסקאות שנערכו עם צדדים קשורים ובעלי עניין</t>
  </si>
  <si>
    <t>ביאור 30</t>
  </si>
  <si>
    <t>התחייבויות תלויות והתקשרויות</t>
  </si>
  <si>
    <t>א. התחייבויות תלויות</t>
  </si>
  <si>
    <t>ב. התקשרויות</t>
  </si>
  <si>
    <t>1. מט"ש:</t>
  </si>
  <si>
    <t>2. מקורות :</t>
  </si>
  <si>
    <t>3. קבלן גביה:</t>
  </si>
  <si>
    <t>4. אחר:</t>
  </si>
  <si>
    <t>ביאור 31</t>
  </si>
  <si>
    <t>שעבודים ומשכונות</t>
  </si>
  <si>
    <t>ביאור 32</t>
  </si>
  <si>
    <t>אירועים לאחר תאריך המאזן</t>
  </si>
  <si>
    <t>1. דו"ח מקורות ושימושים במ"ק:</t>
  </si>
  <si>
    <t>מקורות המים</t>
  </si>
  <si>
    <t>סה"כ קניות מים ממקורות</t>
  </si>
  <si>
    <t xml:space="preserve">הפקת מים </t>
  </si>
  <si>
    <t>(תיקונים/זיכויים)</t>
  </si>
  <si>
    <t>סה"כ רכישה והפקה</t>
  </si>
  <si>
    <t>שימושים במים</t>
  </si>
  <si>
    <t>צריכה בכמות מוכרת</t>
  </si>
  <si>
    <t>צריכה בכמות מעבר לכמות מוכרת</t>
  </si>
  <si>
    <t>גינון ציבורי</t>
  </si>
  <si>
    <t>צריכה חקלאית</t>
  </si>
  <si>
    <t>חקלאות חריגה עד 30%</t>
  </si>
  <si>
    <t>חקלאות חריגה מעל 30%</t>
  </si>
  <si>
    <t>מוסדות רשות מקומית</t>
  </si>
  <si>
    <t>בתי חולים</t>
  </si>
  <si>
    <t>צריכה תעשייתית</t>
  </si>
  <si>
    <t>צריכה אחרת</t>
  </si>
  <si>
    <t>מסחר ומלאכה</t>
  </si>
  <si>
    <t>(***) שימושים אחרים שיצא בגינם חיובים</t>
  </si>
  <si>
    <t xml:space="preserve"> שימושים לשנה</t>
  </si>
  <si>
    <t xml:space="preserve"> (תיקונים/זיכוי צרכני)</t>
  </si>
  <si>
    <t xml:space="preserve"> סה"כ שימושים לשנה</t>
  </si>
  <si>
    <t>סה"כ פחת שנתי במ"ק</t>
  </si>
  <si>
    <t>סה"כ פחת שנתי ב - %</t>
  </si>
  <si>
    <t>לא יכללו בדוח, שימושים שלא ייצאו בגינם חיובי צרכנים</t>
  </si>
  <si>
    <t xml:space="preserve">2. דוח הכנסות לפי סוגי צריכה </t>
  </si>
  <si>
    <t>1.1 דו"ח מקורות ושימושים במ"ק:</t>
  </si>
  <si>
    <t xml:space="preserve"> לשנה שנסתיימה ביום 31 בדצמבר</t>
  </si>
  <si>
    <t>תעריף לחיוב לצרכן</t>
  </si>
  <si>
    <t xml:space="preserve">סה"כ הכנסה באלפי ₪ </t>
  </si>
  <si>
    <t>תעריף נמוך</t>
  </si>
  <si>
    <t>תעריף גבוה</t>
  </si>
  <si>
    <t>מוסדות ציבור</t>
  </si>
  <si>
    <t>בית חולים</t>
  </si>
  <si>
    <t>תעשייה</t>
  </si>
  <si>
    <t xml:space="preserve">חקלאות </t>
  </si>
  <si>
    <t>תעריף לגינון ציבורי</t>
  </si>
  <si>
    <t>תעריף צרכן גדול</t>
  </si>
  <si>
    <t>תעריף ביוב בלבד</t>
  </si>
  <si>
    <t xml:space="preserve"> 2. דוח חייבים:</t>
  </si>
  <si>
    <t xml:space="preserve">דוח חייבים  ואחוז גביה שוטף- הנתונים מתייחסים  ל 31 בדצמבר לכל שנה ולא כוללים  מע"מ </t>
  </si>
  <si>
    <t>שנה</t>
  </si>
  <si>
    <t xml:space="preserve">סך החיוב השוטף </t>
  </si>
  <si>
    <t xml:space="preserve">עידכונים /תיקונים  </t>
  </si>
  <si>
    <t>ריבית צרכנים בגין חיובי אותה שנה</t>
  </si>
  <si>
    <t>סך ריבית שנגבתה</t>
  </si>
  <si>
    <t xml:space="preserve">סך החיוב  אחרי עידכונים /תיקונים </t>
  </si>
  <si>
    <t xml:space="preserve">אחוז גביה שוטף </t>
  </si>
  <si>
    <t xml:space="preserve">דוח חייבים ואחוז גביה  מצטבר -הנתונים מתייחסים  ל 31 בדצמבר לכל שנה ולא כוללים מע"מ </t>
  </si>
  <si>
    <t>`</t>
  </si>
  <si>
    <t xml:space="preserve">סך החיוב לאותה שנה אחרי עדכון תיקון </t>
  </si>
  <si>
    <t xml:space="preserve">הפרשה לחובות מסופקים </t>
  </si>
  <si>
    <t>אחוז ההפרשה בהתאם לחוזר</t>
  </si>
  <si>
    <t xml:space="preserve">תקופה אחרונה </t>
  </si>
  <si>
    <t>(שיעור גבייה מייצג-1)</t>
  </si>
  <si>
    <t xml:space="preserve">יתרת הפרשה מהחישוב </t>
  </si>
  <si>
    <t>הפרשה נוספת (כולל הפרשה בגין שפכי תעשייה)</t>
  </si>
  <si>
    <t>סה"כ יתרת צרכנים  לא כולל מע"מ
לפי דוח חייבים וגביה :</t>
  </si>
  <si>
    <t>הפרשה לחוב ספציפי</t>
  </si>
  <si>
    <t xml:space="preserve">יתרת הפרשה לחובות מסופקים </t>
  </si>
  <si>
    <t xml:space="preserve">יתרת צרכנים בניכוי מע"מ לפי דוח כספי </t>
  </si>
  <si>
    <t>הפרש</t>
  </si>
  <si>
    <t>הפרש הנובע מריבית צרכנים שלא נרשמה בדוח</t>
  </si>
  <si>
    <t>הפרש אחר</t>
  </si>
  <si>
    <t xml:space="preserve">גבייה בגין השנה שוטפת </t>
  </si>
  <si>
    <t xml:space="preserve">גבייה השנה בגין חובות עבר </t>
  </si>
  <si>
    <t xml:space="preserve">גבייה ריבית פיגורים </t>
  </si>
  <si>
    <t>3. ספקים והתקשרויות:</t>
  </si>
  <si>
    <t>3.1 מט"ש:</t>
  </si>
  <si>
    <t xml:space="preserve">כמות קו"ב שזרמה למט"ש בשנת </t>
  </si>
  <si>
    <t>האם החברה משתמשת במט"ש חיצוני?</t>
  </si>
  <si>
    <t>תעריף בש"ח לקו"ב מט"ש</t>
  </si>
  <si>
    <t>3.2 קבלן גביה:</t>
  </si>
  <si>
    <t>מי מבצע את הגביה?</t>
  </si>
  <si>
    <t>האם שיעור עמלת הגביה קבועה או פרוגרסיבית?</t>
  </si>
  <si>
    <t>שיעור עמלת הגביה מסך הגביה:</t>
  </si>
  <si>
    <t>פרט לעמלת גביה האם קיימים תשלומים נוספים לקבלן גביה?</t>
  </si>
  <si>
    <t xml:space="preserve">3.3 אחרים </t>
  </si>
  <si>
    <t>3.3.1</t>
  </si>
  <si>
    <t>ספקים מהותיים אחרים:</t>
  </si>
  <si>
    <t>3.3.2</t>
  </si>
  <si>
    <t>ספקים באשראי לזמן ארוך:</t>
  </si>
  <si>
    <t>נתונים להשוואה</t>
  </si>
  <si>
    <t>תוצאות הבדיקה</t>
  </si>
  <si>
    <t>נתון א</t>
  </si>
  <si>
    <t>נתון ב</t>
  </si>
  <si>
    <t>תקין /לא תקין</t>
  </si>
  <si>
    <t xml:space="preserve">לא תקין-סכום הפער </t>
  </si>
  <si>
    <t>הסבר</t>
  </si>
  <si>
    <t>גיליון</t>
  </si>
  <si>
    <t>סעיף</t>
  </si>
  <si>
    <t>סכום</t>
  </si>
  <si>
    <t>מאזן</t>
  </si>
  <si>
    <t>מזומן</t>
  </si>
  <si>
    <t>תזרים</t>
  </si>
  <si>
    <t>י.ס מזומן</t>
  </si>
  <si>
    <t>סך ההון</t>
  </si>
  <si>
    <t>סך ההון נפרע</t>
  </si>
  <si>
    <t>ביאור 2120</t>
  </si>
  <si>
    <t>דוח רווח והפסד</t>
  </si>
  <si>
    <t>רווח והפסד גולמי</t>
  </si>
  <si>
    <t>ביאור 22.1</t>
  </si>
  <si>
    <t>רווח גולמי מים</t>
  </si>
  <si>
    <t>ביאור 22.2</t>
  </si>
  <si>
    <t>רווח גולמי ביוב</t>
  </si>
  <si>
    <t>ביאור 22.3</t>
  </si>
  <si>
    <t>רווח גולמי תיעול</t>
  </si>
  <si>
    <t>ביאור 22.4</t>
  </si>
  <si>
    <t>רווח גולמי אחר</t>
  </si>
  <si>
    <t>סך הכנסות</t>
  </si>
  <si>
    <t>סך עלויות</t>
  </si>
  <si>
    <t>סך פרעון עתידי</t>
  </si>
  <si>
    <t xml:space="preserve">דיבידנד ששולם </t>
  </si>
  <si>
    <t xml:space="preserve"> תזרים</t>
  </si>
  <si>
    <t>השקעה בפיתוח תשתיות ובתשתיות קימות</t>
  </si>
  <si>
    <t>השקעה בתשתיות מים</t>
  </si>
  <si>
    <t xml:space="preserve">באור 10 פירוט </t>
  </si>
  <si>
    <t>השקעה בתשתיות ביוב</t>
  </si>
  <si>
    <t>פחת מים</t>
  </si>
  <si>
    <t>פחת ביוב</t>
  </si>
  <si>
    <t>שם גיליון:</t>
  </si>
  <si>
    <t>שם התאגיד:</t>
  </si>
  <si>
    <t>שנה נוכחית:</t>
  </si>
  <si>
    <t>שנה קודמת:</t>
  </si>
  <si>
    <t>שנת דוחות</t>
  </si>
  <si>
    <t>דוחות</t>
  </si>
  <si>
    <t>חוות דעת רואה החשבון המבקר</t>
  </si>
  <si>
    <t>דוח על המצב הכספי ליום 31 בדצמבר (באלפי ₪)</t>
  </si>
  <si>
    <t>סה"כ רכוש אחר</t>
  </si>
  <si>
    <t>סה"כ התחייבויות שוטפות</t>
  </si>
  <si>
    <t>סה"כ התחייבויות לזמן ארוך</t>
  </si>
  <si>
    <t>סך פאסיב</t>
  </si>
  <si>
    <t>דוח רווח והפסד לשנה שהסתיימה ביום 31 בדצמבר (באלפי ₪)</t>
  </si>
  <si>
    <t>דוח על השינויים בהון עצמי לשנה שהסתיימה ביום 31 בדצמבר (באלפי ₪)</t>
  </si>
  <si>
    <t>דוח תזרים מזומנים לשנה שהסתיימה ביום 31 בדצמבר (באלפי ₪)</t>
  </si>
  <si>
    <t>תא המיועד להקלדת נתונים יתכן ויופיע עם נתונים אופציונלים או הנחיות</t>
  </si>
  <si>
    <t>נא הקלד מלל רלוונטי</t>
  </si>
  <si>
    <t>נספח א' לדוח תזרים מזומנים לשנה שהסתיימה ביום 31 בדצמבר (באלפי ₪)</t>
  </si>
  <si>
    <t>פרטי קשר לגבי מילוי הקובץ</t>
  </si>
  <si>
    <t>מזין הקובץ:</t>
  </si>
  <si>
    <t>בודק הקובץ:</t>
  </si>
  <si>
    <t>טלפון לשאלות:</t>
  </si>
  <si>
    <t>מייל לשאלות:</t>
  </si>
  <si>
    <t>נספח ב' לדוח תזרים מזומנים לשנה שהסתיימה ביום 31 בדצמבר (באלפי ₪)</t>
  </si>
  <si>
    <r>
      <rPr>
        <b/>
        <sz val="12"/>
        <rFont val="Calibri"/>
        <family val="2"/>
      </rPr>
      <t xml:space="preserve">א. </t>
    </r>
    <r>
      <rPr>
        <b/>
        <u/>
        <sz val="12"/>
        <rFont val="Calibri"/>
        <family val="2"/>
      </rPr>
      <t>מזומנים ושווי מזומנים</t>
    </r>
  </si>
  <si>
    <r>
      <t xml:space="preserve">ב. </t>
    </r>
    <r>
      <rPr>
        <b/>
        <u/>
        <sz val="12"/>
        <rFont val="Calibri"/>
        <family val="2"/>
      </rPr>
      <t>מלאי</t>
    </r>
  </si>
  <si>
    <r>
      <t xml:space="preserve">ג. </t>
    </r>
    <r>
      <rPr>
        <b/>
        <u/>
        <sz val="12"/>
        <rFont val="Calibri"/>
        <family val="2"/>
      </rPr>
      <t>רכוש קבוע</t>
    </r>
  </si>
  <si>
    <r>
      <t xml:space="preserve">ד. </t>
    </r>
    <r>
      <rPr>
        <b/>
        <u/>
        <sz val="12"/>
        <rFont val="Calibri"/>
        <family val="2"/>
      </rPr>
      <t>רכוש אחר</t>
    </r>
  </si>
  <si>
    <r>
      <t xml:space="preserve">ה. </t>
    </r>
    <r>
      <rPr>
        <b/>
        <u/>
        <sz val="12"/>
        <rFont val="Calibri"/>
        <family val="2"/>
      </rPr>
      <t>מיסים נדחים</t>
    </r>
  </si>
  <si>
    <r>
      <t>ו.</t>
    </r>
    <r>
      <rPr>
        <b/>
        <u/>
        <sz val="12"/>
        <rFont val="Calibri"/>
        <family val="2"/>
      </rPr>
      <t xml:space="preserve"> השקעה בחברה מאוחדת</t>
    </r>
  </si>
  <si>
    <r>
      <t xml:space="preserve">ז. </t>
    </r>
    <r>
      <rPr>
        <b/>
        <u/>
        <sz val="12"/>
        <rFont val="Calibri"/>
        <family val="2"/>
      </rPr>
      <t>מדיניות הכרה בהכנסות</t>
    </r>
  </si>
  <si>
    <r>
      <t xml:space="preserve">ח. </t>
    </r>
    <r>
      <rPr>
        <b/>
        <u/>
        <sz val="12"/>
        <rFont val="Calibri"/>
        <family val="2"/>
      </rPr>
      <t>מדיניות הכרה בהוצאה</t>
    </r>
  </si>
  <si>
    <r>
      <t xml:space="preserve">ג. </t>
    </r>
    <r>
      <rPr>
        <b/>
        <u/>
        <sz val="12"/>
        <rFont val="Calibri"/>
        <family val="2"/>
      </rPr>
      <t>הפרשה לחובות מסופקים</t>
    </r>
  </si>
  <si>
    <r>
      <t xml:space="preserve">ט. </t>
    </r>
    <r>
      <rPr>
        <b/>
        <u/>
        <sz val="12"/>
        <rFont val="Calibri"/>
        <family val="2"/>
      </rPr>
      <t>שימוש באומדנים בהכנת דוחות כספיים</t>
    </r>
  </si>
  <si>
    <r>
      <t xml:space="preserve">י. </t>
    </r>
    <r>
      <rPr>
        <b/>
        <u/>
        <sz val="12"/>
        <rFont val="Calibri"/>
        <family val="2"/>
      </rPr>
      <t>מערך חישוב ריבית והצמדה בגין פיגורים</t>
    </r>
  </si>
  <si>
    <r>
      <t xml:space="preserve">יג. </t>
    </r>
    <r>
      <rPr>
        <b/>
        <u/>
        <sz val="12"/>
        <rFont val="Calibri"/>
        <family val="2"/>
      </rPr>
      <t>מטבע חוץ ובסיס הצמדה</t>
    </r>
  </si>
  <si>
    <t>תיאור כללי על התאגיד</t>
  </si>
  <si>
    <t>אופן קביעת ערכו:</t>
  </si>
  <si>
    <r>
      <t xml:space="preserve">בניכוי הפרשה לחובות מסופקים </t>
    </r>
    <r>
      <rPr>
        <vertAlign val="superscript"/>
        <sz val="12"/>
        <rFont val="Calibri"/>
        <family val="2"/>
      </rPr>
      <t>(1)</t>
    </r>
  </si>
  <si>
    <t>פקדונות משועבדים</t>
  </si>
  <si>
    <t>מערכת רשתות ,צנרת, ציוד, עבודות פיתוח, ותשתיות ביוב</t>
  </si>
  <si>
    <t>מערכת רשתות ,צנרת, ציוד, עבודות פיתוח, ותשתיות מים</t>
  </si>
  <si>
    <t>ביאורים לדוחות הכספיים לשנה שהסתיימה ביום 31 בדצמבר (באלפי ₪)</t>
  </si>
  <si>
    <t>#</t>
  </si>
  <si>
    <r>
      <t xml:space="preserve"> </t>
    </r>
    <r>
      <rPr>
        <b/>
        <u/>
        <sz val="12"/>
        <rFont val="Calibri"/>
        <family val="2"/>
      </rPr>
      <t xml:space="preserve">רווח (הפסד) גולמי </t>
    </r>
  </si>
  <si>
    <r>
      <t xml:space="preserve"> </t>
    </r>
    <r>
      <rPr>
        <b/>
        <u/>
        <sz val="14"/>
        <rFont val="Calibri"/>
        <family val="2"/>
      </rPr>
      <t>רווח (הפסד) גולמי משירותי ביוב</t>
    </r>
  </si>
  <si>
    <r>
      <t xml:space="preserve"> </t>
    </r>
    <r>
      <rPr>
        <b/>
        <u/>
        <sz val="14"/>
        <rFont val="Calibri"/>
        <family val="2"/>
      </rPr>
      <t>רווח (הפסד) גולמי מאספקת מים</t>
    </r>
  </si>
  <si>
    <t>סך גביה  שוטפת   נכון ל 31 בדצמבר לאותה שנה 
(כולל המחאות לגביה)</t>
  </si>
  <si>
    <t>תא להזנת טקסט חופשי- יתכן ויופיע בתוספת הנחיה</t>
  </si>
  <si>
    <t>דוח על המצב הכספי</t>
  </si>
  <si>
    <t>דוח על השינויים בהון</t>
  </si>
  <si>
    <t>ביאור 10 פירוט</t>
  </si>
  <si>
    <t>ביאור 11 פירוט</t>
  </si>
  <si>
    <t>ביאורים 30-32</t>
  </si>
  <si>
    <t>העיריה:</t>
  </si>
  <si>
    <t>רו"ה</t>
  </si>
  <si>
    <t>ביאור 17 - סך הלוואות</t>
  </si>
  <si>
    <t>נא לעדכן את המלל ככל שרלוונטי</t>
  </si>
  <si>
    <t>אופן הערכת "פחת גבייה" ואחוז הפחת שנלקח בחשבון</t>
  </si>
  <si>
    <t>אופן רישום ההכנסות מאספקת מים ושירותי ביוב.</t>
  </si>
  <si>
    <t>אופן רישום ההכנסות מהיטלים ואגרות.</t>
  </si>
  <si>
    <t xml:space="preserve">1. הרכוש הקבוע מוצג על בסיס העלות בניכוי פחת שנצבר.
העלות כוללת הוצאות הניתנות לייחוס ישיר לרכישת הנכס. 
2. עלות נכסים שהוקמו באופן עצמי כוללת את עלות החומרים ושכר עבודה ישיר, וכן כל עלות נוספת שניתן לייחס במישרין להבאת הנכס למיקום ומצב הדרושים לכך שהוא יוכל לפעול באופן שהתכוונה ההנהלה.
שיפורים נזקפים לעלות הנכסים ואילו הוצאות אחזקה ותיקונים נזקפות לדוח רווח והפסד עם היווצרותן.
מתקני מים וביוב כוללים את מצבת המתקנים ששימשו את העירייה באספקת שירותי מים וביוב ערב הקמת והפעלת התאגיד, ואשר הועברו לחברה בהתאם להנחיות הממונה, ובאישורו, ומתקנים אחרים שנרכשו או הוקמו מאז.
שווי הנכסים שהועברו מהעירייה נקבע עפ"י הנחיות הממונה ובאישורו.
3. תשלומים על חשבון רכוש קבוע- השקעה בעבודות תשתית שטרם הסתיימו.
</t>
  </si>
  <si>
    <t>קרקע</t>
  </si>
  <si>
    <t>מיסים בגין שנים קודמות</t>
  </si>
  <si>
    <t>מי נעם תאגיד מים וביוב אזורי נוף הגליל - עפולה - מגדל העמק בע"מ</t>
  </si>
  <si>
    <t>מעיינות החוף תאגיד אזורי למים וביוב בע"מ</t>
  </si>
  <si>
    <t>ימים תאגיד המים והביוב קרית ים בע"מ</t>
  </si>
  <si>
    <t>מי רמת גן תאגיד תשתיות המים בע"מ</t>
  </si>
  <si>
    <t>מי גני תקווה בע"מ</t>
  </si>
  <si>
    <t>התחייבויות אחרות</t>
  </si>
  <si>
    <t>שכר דירה</t>
  </si>
  <si>
    <t>עמית שחר</t>
  </si>
  <si>
    <t>office@bsc-cpa.co.il</t>
  </si>
  <si>
    <t>1.7.2009</t>
  </si>
  <si>
    <t>קריית מוצקין</t>
  </si>
  <si>
    <t>1.1.2013</t>
  </si>
  <si>
    <t xml:space="preserve">רכסים </t>
  </si>
  <si>
    <t>1.2.2019</t>
  </si>
  <si>
    <t>דאליית אל כרמל</t>
  </si>
  <si>
    <t>1.7.2019</t>
  </si>
  <si>
    <t xml:space="preserve">עוספיה </t>
  </si>
  <si>
    <t>1.1.2021</t>
  </si>
  <si>
    <t xml:space="preserve">ג'סר א-זרקא </t>
  </si>
  <si>
    <t xml:space="preserve">פקדונות בנקאיים </t>
  </si>
  <si>
    <t xml:space="preserve">צרכנים בגין נטור שפכים </t>
  </si>
  <si>
    <t xml:space="preserve">שכירות מחלקת מים </t>
  </si>
  <si>
    <t xml:space="preserve">שיפוי אוכלוסית נכים </t>
  </si>
  <si>
    <t>תחזוקת מערך GIS</t>
  </si>
  <si>
    <t>תקן ISO ושונות</t>
  </si>
  <si>
    <t xml:space="preserve">רבית ממוסדות </t>
  </si>
  <si>
    <t xml:space="preserve">הכנסות נטו פרוייקטים (מובל ניקוז ,צומת אפק) </t>
  </si>
  <si>
    <t>חשבות</t>
  </si>
  <si>
    <t>קיים שעבוד צף בדרגה ראשונה על כל נכסיה הפיננסים של החברה לטובתהבנקים בקשר להלוואות ו/או מסגרות אשראי  שהועמדו על ידם.</t>
  </si>
  <si>
    <t xml:space="preserve">מלגם </t>
  </si>
  <si>
    <t>יצחק הרשקוביץ</t>
  </si>
  <si>
    <t xml:space="preserve">רפיק חלבי </t>
  </si>
  <si>
    <t xml:space="preserve">תכנית אב </t>
  </si>
  <si>
    <t xml:space="preserve">ריבית למוסדות </t>
  </si>
  <si>
    <t xml:space="preserve">עבודות שונות </t>
  </si>
  <si>
    <t>שערוך פקדונות</t>
  </si>
  <si>
    <t>הקדמת פרעון הלוואת בעלים</t>
  </si>
  <si>
    <t>רכוש קבוע שנגרע</t>
  </si>
  <si>
    <t xml:space="preserve">גידול(קיטון) במיסים נדחים </t>
  </si>
  <si>
    <t xml:space="preserve">הנוסחא לא כללה בחישוב   את רכישת מדי מים וקמ 4773  אלפי שח </t>
  </si>
  <si>
    <t xml:space="preserve">ההפרש 4 הוא פחת כלי רכב שנדרש להציגו בבאור בנפרד אך שיך לכלי רכב מים </t>
  </si>
  <si>
    <t xml:space="preserve">עיקר ההפרש נובע מגידול בסכום רכישת מים ממקורות עקב התיקרות דרסטית לכל רכישת מ"ק מים מעל הכמות המוכרת. </t>
  </si>
  <si>
    <t>א.  פלגי מוצקין בע"מ ("להלן החברה ")  נוסדה ביום 23 ביוני 2009 לצורך מתן שירותי מכירה ואספקת 
      מים , ומתן שירותי ביוב וטיהור שפכים בהתאם לחוק תאגידי מים וביוב, התשס"א- 2001 .
      רישיון ההפעלה ניתן לחברה ע"י הממונה על תאגידי מים וביוב ברשויות המקומיות, ובמשרד הפנים 
      ביום 15 ביוני 2009. החברה החלה את פעילותה ביום 1 ביולי 2009.
      ביום 14 ביוני 2009 נחתם הסכם להעברת הנכסים המשמשים לתפעול משק המים והביוב 
      של עיריית קריית מוצקין לחברה וכן כל פעילות העירייה בתחום המים והביוב בתמורה להלוואת 
      בעלים והקצאת מניות.
ב.  החברה הוקמה על ידי העברת נכסי מים וביוב מעיריית קריית מוצקין לחברה כנגד הקצאת הון  
     (70% מערך הנכסים המופחת ליום העברה) והלוואות בעלים (30% מערך הנכסים המופחת ליום   
     ההעברה). מהות הנכסים וערכם המופחת ליום העברה נקבע בהתאם לסקרי נכסים שנערכו על ידי 
     מעריך חיצוני ואושרו על ידי מנהל המים ברשויות המקומיות.
ג. בתאריך 1/1/2023 הצטרפה מועצה מקומית רכסים לתאגיד. 
ד. במהלך שנת 2019 צורפו לתאגיד שני רשויות נוספות .הממונה על התאגידים הוציא לחברה רישיון 
     הפעלה מעודכן שתוקפו כדלקמן : 
 1 . מועצה מקומית דאליית אל כרמל   -25 שנים מיום  1.2.2019 
 2.  מועצה מקומית עוספיה     -25 שנים מיום 30.6.2019 
ה. בינואר 2021 צורפה לתאגיד רשות ג'סר א-זרקא. תוקף רישיון ההפעלה 25 שנים החל מיום 
      1.1.2021
  להלן  אחוזי הבעלות לאחר צירוף הרשויות הנ"ל לתאגיד המים :
  עיריית קריית מוצקין   43.24%
  מועצה מקומית רכסים  11.19%
  מועצה מקומית דאליית אל כרמל  18.38%
  מועצה מקומית עוספיה   13.22% 
  מועצה מקומית ג'סר א-זרקא  13.97%
  סה"כ   100%</t>
  </si>
  <si>
    <t xml:space="preserve">כמשמעותו בגילוי דעת 29 של לשכת רואי חשבון בישראל </t>
  </si>
  <si>
    <t xml:space="preserve">הממונה על תאגידי המים וביוב ברשויות המקומיות(במשרד הפנים) </t>
  </si>
  <si>
    <t xml:space="preserve">עיריית קרית מוצקין </t>
  </si>
  <si>
    <t>חוק תאגידי מים וביוב התשס"א -2001</t>
  </si>
  <si>
    <t>הממונה על תאגידי מים וביוב ברשויות מקומיות</t>
  </si>
  <si>
    <t xml:space="preserve">הממונה </t>
  </si>
  <si>
    <t>שווי זכויות המים נקבע  על פי הערכת שמאי על פי כללים שנקבעו על ידי מינהל המים ברשויות מקומיות ערב העברתם לחברה. הזכויות הוצגו עד לשנת 2019 על בסיס העלות ולא הופחתו.
ע"פ תיקון לכללי תאגידי המים נקבע כי הזכויות יופחתו החל משנת 2020 ואילך בדוחות הכספיים לשנים 2020-2029. בספרי החברה נרשמו הוצאות פחת בשנת הדוח.</t>
  </si>
  <si>
    <t xml:space="preserve"> באור 2 -  עיקרי המדיניות החשבונאית (המשך)
ו. רכוש קבוע (המשך)
4. מענקים- מענקים המתקבלים מהמדינה (והמתייחסים להשקעות ברכוש קבוע, יטופלו בהתאם להנחיות אגף תאגידים המעודכנות).
החברה בחרה למדוד את הרכוש הקבוע שלה לפי מודל העלות, הפחת מחושב לפי שיטת הקו הישר על פני אומדן תקופת אורך החיים השימושי של הנכסים.
להלן אורך החיים השימושי של הנכסים:
 אורך החיים (בשנים)
סוג הנכס נכסים בפעילות מים נכסים בפעילות ביוב
תחנות שאיבה:  
עבודות קידוח 30 , מבנים 40 40, מוני מים 5-15 , בריכות מים  40 , צינורות 35 40
5. אורך החיים לר"ק נקבעים לפי כללי תאגידי מים וביוב קביעת תנאים ברישיון לעניין אמות מידה הנדסיות תשע"ז-2017 וכללי מדידת מים מדי מים תשמ"ח-1988.   מדי המים מופחתים על פני 6 שנים בשל העדר בסיס נתונים המפורט בכללים".</t>
  </si>
  <si>
    <t xml:space="preserve">לחברה הוצאו שומות מס בהסכם עד וכולל שנת 2013, ושומות ניכויים בהסכם עד וכולל שנת 2014. על פי הוראת השעה הכנסותיו של תאגיד מים וביוב פטורות ממס חברות בין השנים 
   2011 עד 2022 כולל. הוראת השעה חודשה לשנים 2025-2026 .
2. בספרי התאגיד נרשמו בשנת הדוח הוצאות מיסים שוטפים בגין חבות לרשות המיסים ומיסים  
    נדחים בגין הפרשי עיתוי שנוצרו בשנת 2023. 
</t>
  </si>
  <si>
    <t>הלוואת הבעלים לקריית מוצקין נפרעה במלואה במהלך שנת 2016.</t>
  </si>
  <si>
    <t>הלוואת הבעלים לדאליית אל כרמל נפרעה במלואה בין השנים 2023-2024 .</t>
  </si>
  <si>
    <t xml:space="preserve">מלוא היתרה במהלך שנת 2025. </t>
  </si>
  <si>
    <t xml:space="preserve">הלוואת הבעלים לעוספיה נפרעה בחלקה בשנת 2024. על פי הסכם שנחתם בין המועצה לתאגיד המים צפויה להיפרע </t>
  </si>
  <si>
    <t xml:space="preserve">לפי חוות דעת משפטית עומדות ותלויות כנגד התאגיד 14  תביעות בסך כולל של 21,098 אלפי ₪ . בסכום כלולה תביעה אחת בסך 20 מיליוני שח כנגד התאגיד וצדדים אחרים. 
לגבי חלק מהתביעות הופעל כיסוי במסגרת פוליסת אחריות מקצועית ולגביהם הופרש סכום בגובה ההשתתפות העצמית בפוליסה.
בהתאם לאומדן הערכת הסיכונים של היועצים המשפטיים נערכה הפרשה בספרי התאגיד בסך כולל של  250 אלפי שח. 
</t>
  </si>
  <si>
    <t xml:space="preserve"> ההתאגיד מזרים השפכים ל- 3 מכוני טיהור לטובת פינוי השפכים בהתאם למיקום הישובים להם הוא נותן שירות : 
- מכון הטיהור איגוד ערים משמש את קריית מוצקין ורכסים. התאגיד מחויב באופן יחסי על פי כמות השפכים שהוזרמה איליו.
-מכון הטיהור ניר עציון מי משמש אתל דאליית אל כרמל ועוספיה ,והתאגיד מחויב בעלויות החשמל.  לתאגיד 50 אחוז מבעלות על מכון טיהור השפכים. 
מכון הטיהור חדרה משמש את ג'סר א-זרקא והתאגיד מחויב באופן יחסי בהתאם לכמות השפכים שהוזרמו איליו. 
</t>
  </si>
  <si>
    <t xml:space="preserve">סכום ההלוואות  משקף את היתרה שטרם נפרעה בגין העברת הנכסים המשמשים לפעילות המים והביוב 
החברה זוקפת ריבית  בגין יתרת ההלוואות שטרם נפרעו.יתרת החייבים  משקפת פעילות שוטפת  בין החברה לבין הרשויות להם היא מספקת שירותי מים .  בשנת הדוח  פרע התאגיד סך של 6,308 אלפי שח  על חשבון יתרת הלוואות הבעלים.
</t>
  </si>
  <si>
    <t>העריה/מועצות מתחייבות להעביר ולהמחות לתאגיד והתאגיד מתחייב לקבל בהעברה ובהמחאה לרבות את ההסכמים, הרשיונות והזכויות בנכסים התפעוליים. 
שווי התמורה נקבע בהתאם להערכת שווי נכסי משק המים והביוב של העריה/מועצות  שבוצעו על פי הנחיות הממונה ובאישורו, 
להלן סיכום שווי נכסי המים והביוב למועד העברה מהעריה/מועצות   כפי שאושרו על ידי הממונה:</t>
  </si>
  <si>
    <t>הכנסות ממכירות מים ומשירותי ביוב (אגרות מים וביוב) מוכרות עם אספקת המים ובתנאי שקיימת סבירות גבוהה לגביית התמורה.
הכנסות מהיטלים המהוות הכנסות הוניות בגין נכסי תשתית, נרשמות כהכנסות נדחות ונזקפות לדוח רווח והפסד לאורך תקופה של 35 שנים.
תקבולים ממענקי ממשלה המיועדים להשקעה בנכסים נרשמים כהכנסות נדחות. תקבולים ממענקי ממשלה שהשימוש לגביהם אינו מוגבל כאמור לעיל נרשמים כהכנסות שוטפות.                                                                                                                   תקבול שהועבר מקרן השיקום במהלך שנת  2023 מופחת על פי ביצוע השקעות בפועל .</t>
  </si>
  <si>
    <t xml:space="preserve">הדוחות הכספיים כוללים הפרשה לחובות מסופקים המשקפת בצורה נאותה, לפי הערכת הנהלת החברה את ההפסד הגלום בחובות שגבייתם מוטלת בספק. 
בהתאם להנחיות רשות המים ובהסתמך על שיעורי הגביה הממוצעים של החברה, ההפרשה לחובות מסופקים מחושבת לפי 4%  מהכנסותיה השוטפות של החברה בשלוש השנים האחרונות .על חובות של צרכנים שגילם מעל שלוש שנים נכון ליום המאזן, הופרש החוב  במלואו. בנוסף הופרשו חובות מסופקים בגין חובות ספציפיים בהתאם לאומדן ההנהלה.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</si>
</sst>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_ * #,##0_ ;_ * \-#,##0_ ;_ * &quot;-&quot;??_ ;_ @_ "/>
    <numFmt numFmtId="166" formatCode="#,##0.00;\(#,##0.00\)"/>
    <numFmt numFmtId="167" formatCode="0.0%"/>
    <numFmt numFmtId="168" formatCode="#,##0.0"/>
    <numFmt numFmtId="169" formatCode="0.000"/>
    <numFmt numFmtId="170" formatCode="_ * #,##0.000_ ;_ * \-#,##0.000_ ;_ * &quot;-&quot;??_ ;_ @_ "/>
    <numFmt numFmtId="171" formatCode="_(* #,##0_);_(* \(#,##0\);_(* &quot;-&quot;??_);_(@_)"/>
  </numFmts>
  <fonts count="67" x14ac:knownFonts="1">
    <font>
      <sz val="11"/>
      <color theme="1"/>
      <name val="Arial"/>
      <family val="2"/>
      <charset val="177"/>
      <scheme val="minor"/>
    </font>
    <font>
      <sz val="11"/>
      <color theme="1"/>
      <name val="Arial"/>
      <family val="2"/>
      <charset val="177"/>
      <scheme val="minor"/>
    </font>
    <font>
      <b/>
      <sz val="11"/>
      <color theme="3"/>
      <name val="Arial"/>
      <family val="2"/>
      <charset val="177"/>
      <scheme val="minor"/>
    </font>
    <font>
      <u/>
      <sz val="11"/>
      <color theme="10"/>
      <name val="Arial"/>
      <family val="2"/>
      <charset val="177"/>
      <scheme val="minor"/>
    </font>
    <font>
      <sz val="12"/>
      <name val="David"/>
      <family val="2"/>
      <charset val="177"/>
    </font>
    <font>
      <u/>
      <sz val="10"/>
      <color indexed="12"/>
      <name val="Arial"/>
      <family val="2"/>
    </font>
    <font>
      <sz val="8"/>
      <color indexed="81"/>
      <name val="Tahoma"/>
      <family val="2"/>
    </font>
    <font>
      <sz val="10"/>
      <name val="David"/>
      <family val="2"/>
      <charset val="177"/>
    </font>
    <font>
      <sz val="24"/>
      <name val="David"/>
      <family val="2"/>
      <charset val="177"/>
    </font>
    <font>
      <u/>
      <sz val="10"/>
      <name val="David"/>
      <family val="2"/>
      <charset val="177"/>
    </font>
    <font>
      <b/>
      <sz val="11"/>
      <name val="David"/>
      <family val="2"/>
      <charset val="177"/>
    </font>
    <font>
      <sz val="10"/>
      <name val="Arial"/>
      <family val="2"/>
    </font>
    <font>
      <b/>
      <u/>
      <sz val="18"/>
      <name val="David"/>
      <family val="2"/>
      <charset val="177"/>
    </font>
    <font>
      <b/>
      <sz val="8"/>
      <color indexed="81"/>
      <name val="Tahoma"/>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color theme="1"/>
      <name val="Calibri"/>
      <family val="2"/>
    </font>
    <font>
      <b/>
      <sz val="10"/>
      <name val="Calibri"/>
      <family val="2"/>
    </font>
    <font>
      <b/>
      <u/>
      <sz val="12"/>
      <name val="Calibri"/>
      <family val="2"/>
    </font>
    <font>
      <sz val="12"/>
      <name val="Calibri"/>
      <family val="2"/>
    </font>
    <font>
      <b/>
      <sz val="12"/>
      <name val="Calibri"/>
      <family val="2"/>
    </font>
    <font>
      <b/>
      <sz val="16"/>
      <name val="Calibri"/>
      <family val="2"/>
    </font>
    <font>
      <sz val="11"/>
      <name val="Calibri"/>
      <family val="2"/>
    </font>
    <font>
      <sz val="14"/>
      <name val="Calibri"/>
      <family val="2"/>
    </font>
    <font>
      <b/>
      <u/>
      <sz val="16"/>
      <name val="Calibri"/>
      <family val="2"/>
    </font>
    <font>
      <b/>
      <sz val="14"/>
      <name val="Calibri"/>
      <family val="2"/>
    </font>
    <font>
      <b/>
      <sz val="20"/>
      <name val="Calibri"/>
      <family val="2"/>
    </font>
    <font>
      <b/>
      <u/>
      <sz val="14"/>
      <name val="Calibri"/>
      <family val="2"/>
    </font>
    <font>
      <sz val="11"/>
      <color rgb="FFFF0000"/>
      <name val="Calibri"/>
      <family val="2"/>
    </font>
    <font>
      <b/>
      <shadow/>
      <u/>
      <sz val="16"/>
      <color indexed="9"/>
      <name val="Calibri"/>
      <family val="2"/>
    </font>
    <font>
      <b/>
      <sz val="10"/>
      <color theme="3"/>
      <name val="Calibri"/>
      <family val="2"/>
    </font>
    <font>
      <u/>
      <sz val="12"/>
      <name val="Calibri"/>
      <family val="2"/>
    </font>
    <font>
      <u/>
      <sz val="12"/>
      <color indexed="12"/>
      <name val="Calibri"/>
      <family val="2"/>
    </font>
    <font>
      <b/>
      <shadow/>
      <u/>
      <sz val="16"/>
      <color rgb="FFFF0000"/>
      <name val="Calibri"/>
      <family val="2"/>
    </font>
    <font>
      <sz val="11"/>
      <name val="Arial"/>
      <family val="2"/>
      <charset val="177"/>
      <scheme val="minor"/>
    </font>
    <font>
      <b/>
      <shadow/>
      <u/>
      <sz val="16"/>
      <name val="Calibri"/>
      <family val="2"/>
    </font>
    <font>
      <sz val="10"/>
      <name val="Calibri"/>
      <family val="2"/>
    </font>
    <font>
      <u/>
      <sz val="16"/>
      <name val="Calibri"/>
      <family val="2"/>
    </font>
    <font>
      <sz val="16"/>
      <name val="Calibri"/>
      <family val="2"/>
    </font>
    <font>
      <u/>
      <sz val="10"/>
      <name val="Calibri"/>
      <family val="2"/>
    </font>
    <font>
      <b/>
      <sz val="11"/>
      <name val="Calibri"/>
      <family val="2"/>
    </font>
    <font>
      <b/>
      <shadow/>
      <u/>
      <sz val="16"/>
      <color theme="4" tint="-0.249977111117893"/>
      <name val="Calibri"/>
      <family val="2"/>
    </font>
    <font>
      <b/>
      <u/>
      <sz val="24"/>
      <name val="Calibri"/>
      <family val="2"/>
    </font>
    <font>
      <sz val="24"/>
      <name val="Calibri"/>
      <family val="2"/>
    </font>
    <font>
      <b/>
      <u/>
      <sz val="11"/>
      <name val="Calibri"/>
      <family val="2"/>
    </font>
    <font>
      <sz val="24"/>
      <color rgb="FFFF0000"/>
      <name val="Calibri"/>
      <family val="2"/>
    </font>
    <font>
      <b/>
      <u/>
      <sz val="18"/>
      <name val="Calibri"/>
      <family val="2"/>
    </font>
    <font>
      <b/>
      <sz val="12"/>
      <name val="Calibri"/>
      <family val="2"/>
    </font>
    <font>
      <u/>
      <sz val="11"/>
      <name val="Calibri"/>
      <family val="2"/>
    </font>
    <font>
      <b/>
      <u val="singleAccounting"/>
      <sz val="12"/>
      <name val="Calibri"/>
      <family val="2"/>
    </font>
    <font>
      <b/>
      <sz val="11"/>
      <color theme="1"/>
      <name val="Calibri"/>
      <family val="2"/>
    </font>
    <font>
      <b/>
      <u/>
      <sz val="11"/>
      <color rgb="FFFF0000"/>
      <name val="Calibri"/>
      <family val="2"/>
    </font>
    <font>
      <sz val="12"/>
      <color rgb="FFFF0000"/>
      <name val="Calibri"/>
      <family val="2"/>
    </font>
    <font>
      <b/>
      <u val="singleAccounting"/>
      <sz val="14"/>
      <name val="Calibri"/>
      <family val="2"/>
    </font>
    <font>
      <u/>
      <sz val="14"/>
      <name val="Calibri"/>
      <family val="2"/>
    </font>
    <font>
      <vertAlign val="superscript"/>
      <sz val="12"/>
      <name val="Calibri"/>
      <family val="2"/>
    </font>
    <font>
      <u val="double"/>
      <sz val="12"/>
      <name val="Calibri"/>
      <family val="2"/>
    </font>
    <font>
      <b/>
      <u val="double"/>
      <sz val="12"/>
      <name val="Calibri"/>
      <family val="2"/>
    </font>
    <font>
      <b/>
      <sz val="12"/>
      <color rgb="FFFF0000"/>
      <name val="Calibri"/>
      <family val="2"/>
    </font>
    <font>
      <sz val="20"/>
      <color rgb="FFFF0000"/>
      <name val="Calibri"/>
      <family val="2"/>
    </font>
    <font>
      <b/>
      <vertAlign val="superscript"/>
      <sz val="12"/>
      <name val="Calibri"/>
      <family val="2"/>
    </font>
    <font>
      <b/>
      <i/>
      <sz val="12"/>
      <name val="Calibri"/>
      <family val="2"/>
    </font>
    <font>
      <i/>
      <sz val="12"/>
      <name val="Calibri"/>
      <family val="2"/>
    </font>
    <font>
      <b/>
      <shadow/>
      <sz val="16"/>
      <color theme="4" tint="-0.249977111117893"/>
      <name val="Calibri"/>
      <family val="2"/>
    </font>
    <font>
      <u/>
      <sz val="11"/>
      <color theme="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C99"/>
        <bgColor indexed="64"/>
      </patternFill>
    </fill>
  </fills>
  <borders count="76">
    <border>
      <left/>
      <right/>
      <top/>
      <bottom/>
      <diagonal/>
    </border>
    <border>
      <left/>
      <right/>
      <top/>
      <bottom style="medium">
        <color theme="4" tint="0.39997558519241921"/>
      </bottom>
      <diagonal/>
    </border>
    <border>
      <left style="medium">
        <color indexed="62"/>
      </left>
      <right/>
      <top style="medium">
        <color indexed="62"/>
      </top>
      <bottom/>
      <diagonal/>
    </border>
    <border>
      <left/>
      <right/>
      <top style="medium">
        <color indexed="62"/>
      </top>
      <bottom/>
      <diagonal/>
    </border>
    <border>
      <left style="medium">
        <color indexed="62"/>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ashed">
        <color indexed="64"/>
      </bottom>
      <diagonal/>
    </border>
    <border>
      <left/>
      <right/>
      <top style="dashed">
        <color indexed="64"/>
      </top>
      <bottom/>
      <diagonal/>
    </border>
    <border>
      <left/>
      <right/>
      <top style="thin">
        <color indexed="64"/>
      </top>
      <bottom style="double">
        <color indexed="64"/>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dashed">
        <color indexed="64"/>
      </bottom>
      <diagonal/>
    </border>
    <border>
      <left/>
      <right/>
      <top/>
      <bottom style="dashed">
        <color indexed="64"/>
      </bottom>
      <diagonal/>
    </border>
    <border>
      <left/>
      <right style="thin">
        <color indexed="9"/>
      </right>
      <top/>
      <bottom/>
      <diagonal/>
    </border>
    <border>
      <left style="medium">
        <color indexed="64"/>
      </left>
      <right/>
      <top/>
      <bottom/>
      <diagonal/>
    </border>
    <border>
      <left/>
      <right/>
      <top/>
      <bottom style="thin">
        <color indexed="9"/>
      </bottom>
      <diagonal/>
    </border>
    <border>
      <left/>
      <right/>
      <top style="thin">
        <color indexed="64"/>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thin">
        <color indexed="9"/>
      </left>
      <right style="medium">
        <color theme="0" tint="-0.34998626667073579"/>
      </right>
      <top style="thin">
        <color indexed="9"/>
      </top>
      <bottom style="thin">
        <color indexed="9"/>
      </bottom>
      <diagonal/>
    </border>
    <border>
      <left/>
      <right style="medium">
        <color theme="0" tint="-0.34998626667073579"/>
      </right>
      <top style="thin">
        <color indexed="64"/>
      </top>
      <bottom style="dashed">
        <color indexed="64"/>
      </bottom>
      <diagonal/>
    </border>
    <border>
      <left/>
      <right style="medium">
        <color theme="0" tint="-0.34998626667073579"/>
      </right>
      <top/>
      <bottom style="thin">
        <color indexed="64"/>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style="thin">
        <color indexed="64"/>
      </top>
      <bottom/>
      <diagonal/>
    </border>
    <border>
      <left/>
      <right style="thin">
        <color theme="0" tint="-0.499984740745262"/>
      </right>
      <top style="thin">
        <color indexed="64"/>
      </top>
      <bottom style="dashed">
        <color indexed="64"/>
      </bottom>
      <diagonal/>
    </border>
    <border>
      <left style="medium">
        <color theme="0" tint="-0.499984740745262"/>
      </left>
      <right/>
      <top style="thin">
        <color theme="0" tint="-0.499984740745262"/>
      </top>
      <bottom/>
      <diagonal/>
    </border>
    <border>
      <left style="medium">
        <color theme="0" tint="-0.499984740745262"/>
      </left>
      <right/>
      <top/>
      <bottom style="thin">
        <color theme="0" tint="-0.499984740745262"/>
      </bottom>
      <diagonal/>
    </border>
    <border>
      <left/>
      <right style="thin">
        <color theme="0" tint="-0.499984740745262"/>
      </right>
      <top style="thin">
        <color indexed="9"/>
      </top>
      <bottom style="thin">
        <color indexed="9"/>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2"/>
      </left>
      <right/>
      <top style="thin">
        <color theme="2"/>
      </top>
      <bottom style="thin">
        <color theme="2"/>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11" fillId="0" borderId="0"/>
    <xf numFmtId="0" fontId="5" fillId="0" borderId="0" applyNumberFormat="0" applyFill="0" applyBorder="0" applyAlignment="0" applyProtection="0">
      <alignment vertical="top"/>
      <protection locked="0"/>
    </xf>
    <xf numFmtId="0" fontId="11" fillId="0" borderId="0"/>
  </cellStyleXfs>
  <cellXfs count="879">
    <xf numFmtId="0" fontId="0" fillId="0" borderId="0" xfId="0"/>
    <xf numFmtId="0" fontId="18" fillId="0" borderId="0" xfId="0" applyFont="1"/>
    <xf numFmtId="164" fontId="20" fillId="0" borderId="4" xfId="0" applyNumberFormat="1" applyFont="1" applyBorder="1" applyAlignment="1">
      <alignment horizontal="center"/>
    </xf>
    <xf numFmtId="164" fontId="20" fillId="0" borderId="0" xfId="0" applyNumberFormat="1" applyFont="1" applyAlignment="1">
      <alignment horizontal="center"/>
    </xf>
    <xf numFmtId="0" fontId="21" fillId="0" borderId="0" xfId="0" applyFont="1"/>
    <xf numFmtId="0" fontId="24" fillId="2" borderId="3" xfId="0" applyFont="1" applyFill="1" applyBorder="1"/>
    <xf numFmtId="0" fontId="24" fillId="2" borderId="0" xfId="0" applyFont="1" applyFill="1"/>
    <xf numFmtId="0" fontId="24" fillId="2" borderId="4" xfId="0" applyFont="1" applyFill="1" applyBorder="1"/>
    <xf numFmtId="0" fontId="24" fillId="0" borderId="0" xfId="0" applyFont="1"/>
    <xf numFmtId="0" fontId="24" fillId="0" borderId="4" xfId="0" applyFont="1" applyBorder="1"/>
    <xf numFmtId="0" fontId="19" fillId="0" borderId="4" xfId="0" applyFont="1" applyBorder="1"/>
    <xf numFmtId="0" fontId="28" fillId="2" borderId="2" xfId="0" applyFont="1" applyFill="1" applyBorder="1"/>
    <xf numFmtId="0" fontId="27" fillId="2" borderId="3" xfId="0" applyFont="1" applyFill="1" applyBorder="1" applyAlignment="1">
      <alignment horizontal="center"/>
    </xf>
    <xf numFmtId="0" fontId="26" fillId="2" borderId="0" xfId="0" applyFont="1" applyFill="1" applyAlignment="1">
      <alignment horizontal="right" readingOrder="2"/>
    </xf>
    <xf numFmtId="164" fontId="7" fillId="0" borderId="0" xfId="0" applyNumberFormat="1" applyFont="1"/>
    <xf numFmtId="0" fontId="25" fillId="2" borderId="0" xfId="0" applyFont="1" applyFill="1" applyAlignment="1">
      <alignment horizontal="right"/>
    </xf>
    <xf numFmtId="164" fontId="20" fillId="0" borderId="23" xfId="0" applyNumberFormat="1" applyFont="1" applyBorder="1" applyAlignment="1">
      <alignment horizontal="center"/>
    </xf>
    <xf numFmtId="164" fontId="20" fillId="0" borderId="24" xfId="0" applyNumberFormat="1" applyFont="1" applyBorder="1" applyAlignment="1">
      <alignment horizontal="center"/>
    </xf>
    <xf numFmtId="164" fontId="21" fillId="0" borderId="0" xfId="0" applyNumberFormat="1" applyFont="1" applyAlignment="1">
      <alignment horizontal="right"/>
    </xf>
    <xf numFmtId="0" fontId="21" fillId="0" borderId="25" xfId="0" applyFont="1" applyBorder="1"/>
    <xf numFmtId="0" fontId="21" fillId="0" borderId="26" xfId="0" applyFont="1" applyBorder="1"/>
    <xf numFmtId="0" fontId="21" fillId="0" borderId="27" xfId="0" applyFont="1" applyBorder="1"/>
    <xf numFmtId="0" fontId="20" fillId="0" borderId="0" xfId="0" applyFont="1" applyAlignment="1">
      <alignment horizontal="center"/>
    </xf>
    <xf numFmtId="0" fontId="30" fillId="0" borderId="0" xfId="0" applyFont="1"/>
    <xf numFmtId="0" fontId="18" fillId="0" borderId="0" xfId="0" applyFont="1" applyAlignment="1">
      <alignment horizontal="center"/>
    </xf>
    <xf numFmtId="0" fontId="32" fillId="0" borderId="5" xfId="3" applyFont="1" applyFill="1" applyBorder="1"/>
    <xf numFmtId="0" fontId="18" fillId="0" borderId="0" xfId="0" applyFont="1" applyProtection="1">
      <protection hidden="1"/>
    </xf>
    <xf numFmtId="0" fontId="34" fillId="0" borderId="0" xfId="4" applyFont="1" applyFill="1" applyBorder="1" applyAlignment="1" applyProtection="1"/>
    <xf numFmtId="0" fontId="31" fillId="0" borderId="0" xfId="0" applyFont="1" applyAlignment="1">
      <alignment vertical="center" readingOrder="2"/>
    </xf>
    <xf numFmtId="0" fontId="35" fillId="0" borderId="0" xfId="0" applyFont="1" applyAlignment="1">
      <alignment vertical="center" readingOrder="2"/>
    </xf>
    <xf numFmtId="164" fontId="29" fillId="0" borderId="0" xfId="0" applyNumberFormat="1" applyFont="1" applyAlignment="1">
      <alignment horizontal="right"/>
    </xf>
    <xf numFmtId="0" fontId="22" fillId="0" borderId="0" xfId="0" applyFont="1"/>
    <xf numFmtId="0" fontId="22" fillId="0" borderId="0" xfId="0" applyFont="1" applyAlignment="1">
      <alignment vertical="center"/>
    </xf>
    <xf numFmtId="0" fontId="21" fillId="0" borderId="20" xfId="0" applyFont="1" applyBorder="1"/>
    <xf numFmtId="0" fontId="21" fillId="0" borderId="21" xfId="0" applyFont="1" applyBorder="1"/>
    <xf numFmtId="0" fontId="21" fillId="0" borderId="22" xfId="0" applyFont="1" applyBorder="1"/>
    <xf numFmtId="0" fontId="21" fillId="0" borderId="23" xfId="0" applyFont="1" applyBorder="1"/>
    <xf numFmtId="0" fontId="21" fillId="0" borderId="24" xfId="0" applyFont="1" applyBorder="1"/>
    <xf numFmtId="164" fontId="21" fillId="3" borderId="0" xfId="0" applyNumberFormat="1" applyFont="1" applyFill="1" applyAlignment="1">
      <alignment horizontal="center" vertical="center"/>
    </xf>
    <xf numFmtId="164" fontId="21" fillId="0" borderId="0" xfId="0" applyNumberFormat="1" applyFont="1" applyAlignment="1">
      <alignment horizontal="right" vertical="top" wrapText="1"/>
    </xf>
    <xf numFmtId="3" fontId="22" fillId="0" borderId="0" xfId="0" applyNumberFormat="1" applyFont="1" applyAlignment="1">
      <alignment horizontal="center" vertical="center" wrapText="1" readingOrder="2"/>
    </xf>
    <xf numFmtId="3" fontId="22" fillId="2" borderId="0" xfId="0" applyNumberFormat="1" applyFont="1" applyFill="1" applyAlignment="1">
      <alignment horizontal="center" vertical="center" wrapText="1" readingOrder="2"/>
    </xf>
    <xf numFmtId="164" fontId="20" fillId="0" borderId="20" xfId="0" applyNumberFormat="1" applyFont="1" applyBorder="1" applyAlignment="1">
      <alignment horizontal="center"/>
    </xf>
    <xf numFmtId="0" fontId="18" fillId="0" borderId="21" xfId="0" applyFont="1" applyBorder="1"/>
    <xf numFmtId="0" fontId="18" fillId="0" borderId="22" xfId="0" applyFont="1" applyBorder="1"/>
    <xf numFmtId="0" fontId="22" fillId="0" borderId="24" xfId="0" applyFont="1" applyBorder="1" applyAlignment="1">
      <alignment horizontal="center"/>
    </xf>
    <xf numFmtId="0" fontId="21" fillId="0" borderId="27" xfId="0" applyFont="1" applyBorder="1" applyAlignment="1">
      <alignment horizontal="center"/>
    </xf>
    <xf numFmtId="0" fontId="21" fillId="0" borderId="0" xfId="0" applyFont="1" applyAlignment="1">
      <alignment vertical="center"/>
    </xf>
    <xf numFmtId="0" fontId="21" fillId="0" borderId="23" xfId="0" applyFont="1" applyBorder="1" applyAlignment="1">
      <alignment vertical="center"/>
    </xf>
    <xf numFmtId="0" fontId="18" fillId="0" borderId="0" xfId="0" applyFont="1" applyAlignment="1">
      <alignment horizontal="center" vertical="center"/>
    </xf>
    <xf numFmtId="0" fontId="32" fillId="0" borderId="5" xfId="3" applyFont="1" applyFill="1" applyBorder="1" applyAlignment="1">
      <alignment vertical="center"/>
    </xf>
    <xf numFmtId="0" fontId="18" fillId="0" borderId="0" xfId="0" applyFont="1" applyAlignment="1">
      <alignment vertical="center"/>
    </xf>
    <xf numFmtId="0" fontId="36" fillId="0" borderId="0" xfId="0" applyFont="1"/>
    <xf numFmtId="0" fontId="37" fillId="0" borderId="0" xfId="0" applyFont="1" applyAlignment="1">
      <alignment vertical="center" readingOrder="2"/>
    </xf>
    <xf numFmtId="0" fontId="39" fillId="0" borderId="24" xfId="4" applyFont="1" applyFill="1" applyBorder="1" applyAlignment="1" applyProtection="1">
      <alignment horizontal="right"/>
    </xf>
    <xf numFmtId="0" fontId="22" fillId="0" borderId="0" xfId="0" applyFont="1" applyAlignment="1">
      <alignment horizontal="right"/>
    </xf>
    <xf numFmtId="164" fontId="38" fillId="0" borderId="0" xfId="0" applyNumberFormat="1" applyFont="1"/>
    <xf numFmtId="0" fontId="37" fillId="0" borderId="0" xfId="0" applyFont="1" applyAlignment="1">
      <alignment horizontal="center" readingOrder="2"/>
    </xf>
    <xf numFmtId="0" fontId="23" fillId="2" borderId="29" xfId="0" applyFont="1" applyFill="1" applyBorder="1" applyAlignment="1">
      <alignment vertical="center"/>
    </xf>
    <xf numFmtId="0" fontId="24" fillId="2" borderId="30" xfId="0" applyFont="1" applyFill="1" applyBorder="1" applyAlignment="1">
      <alignment vertical="center"/>
    </xf>
    <xf numFmtId="0" fontId="24" fillId="2" borderId="30" xfId="0" applyFont="1" applyFill="1" applyBorder="1"/>
    <xf numFmtId="164" fontId="38" fillId="0" borderId="24" xfId="0" applyNumberFormat="1" applyFont="1" applyBorder="1"/>
    <xf numFmtId="164" fontId="22" fillId="0" borderId="25" xfId="0" applyNumberFormat="1" applyFont="1" applyBorder="1" applyAlignment="1">
      <alignment wrapText="1"/>
    </xf>
    <xf numFmtId="164" fontId="22" fillId="0" borderId="26" xfId="0" applyNumberFormat="1" applyFont="1" applyBorder="1" applyAlignment="1">
      <alignment horizontal="center"/>
    </xf>
    <xf numFmtId="164" fontId="38" fillId="0" borderId="27" xfId="0" applyNumberFormat="1" applyFont="1" applyBorder="1"/>
    <xf numFmtId="0" fontId="43" fillId="2" borderId="30" xfId="0" applyFont="1" applyFill="1" applyBorder="1" applyAlignment="1">
      <alignment horizontal="right" vertical="center" readingOrder="2"/>
    </xf>
    <xf numFmtId="164" fontId="8" fillId="0" borderId="3" xfId="0" applyNumberFormat="1" applyFont="1" applyBorder="1"/>
    <xf numFmtId="164" fontId="7" fillId="0" borderId="4" xfId="0" applyNumberFormat="1" applyFont="1" applyBorder="1"/>
    <xf numFmtId="164" fontId="10" fillId="0" borderId="0" xfId="0" applyNumberFormat="1" applyFont="1" applyAlignment="1">
      <alignment horizontal="center"/>
    </xf>
    <xf numFmtId="164" fontId="8" fillId="0" borderId="0" xfId="0" applyNumberFormat="1" applyFont="1"/>
    <xf numFmtId="164" fontId="44" fillId="2" borderId="3" xfId="0" applyNumberFormat="1" applyFont="1" applyFill="1" applyBorder="1"/>
    <xf numFmtId="164" fontId="45" fillId="0" borderId="0" xfId="0" applyNumberFormat="1" applyFont="1"/>
    <xf numFmtId="164" fontId="44" fillId="2" borderId="0" xfId="0" applyNumberFormat="1" applyFont="1" applyFill="1" applyAlignment="1">
      <alignment horizontal="center"/>
    </xf>
    <xf numFmtId="164" fontId="45" fillId="2" borderId="0" xfId="0" applyNumberFormat="1" applyFont="1" applyFill="1"/>
    <xf numFmtId="164" fontId="45" fillId="0" borderId="4" xfId="0" applyNumberFormat="1" applyFont="1" applyBorder="1"/>
    <xf numFmtId="164" fontId="44" fillId="0" borderId="0" xfId="0" applyNumberFormat="1" applyFont="1"/>
    <xf numFmtId="164" fontId="38" fillId="0" borderId="4" xfId="0" applyNumberFormat="1" applyFont="1" applyBorder="1"/>
    <xf numFmtId="164" fontId="41" fillId="0" borderId="0" xfId="4" applyNumberFormat="1" applyFont="1" applyFill="1" applyBorder="1" applyAlignment="1" applyProtection="1"/>
    <xf numFmtId="164" fontId="22" fillId="0" borderId="0" xfId="0" applyNumberFormat="1" applyFont="1" applyAlignment="1">
      <alignment horizontal="center"/>
    </xf>
    <xf numFmtId="164" fontId="21" fillId="0" borderId="0" xfId="0" applyNumberFormat="1" applyFont="1"/>
    <xf numFmtId="164" fontId="41" fillId="0" borderId="0" xfId="4" applyNumberFormat="1" applyFont="1" applyFill="1" applyBorder="1" applyAlignment="1" applyProtection="1">
      <alignment horizontal="center"/>
    </xf>
    <xf numFmtId="164" fontId="21" fillId="0" borderId="0" xfId="1" applyNumberFormat="1" applyFont="1" applyFill="1" applyBorder="1" applyAlignment="1" applyProtection="1">
      <alignment horizontal="center"/>
    </xf>
    <xf numFmtId="164" fontId="21" fillId="0" borderId="0" xfId="0" applyNumberFormat="1" applyFont="1" applyAlignment="1">
      <alignment horizontal="center"/>
    </xf>
    <xf numFmtId="165" fontId="21" fillId="0" borderId="0" xfId="1" quotePrefix="1" applyNumberFormat="1" applyFont="1" applyFill="1" applyBorder="1" applyAlignment="1" applyProtection="1">
      <alignment horizontal="center"/>
    </xf>
    <xf numFmtId="164" fontId="21" fillId="0" borderId="0" xfId="0" quotePrefix="1" applyNumberFormat="1" applyFont="1" applyAlignment="1">
      <alignment horizontal="center"/>
    </xf>
    <xf numFmtId="165" fontId="21" fillId="0" borderId="10" xfId="1" applyNumberFormat="1" applyFont="1" applyFill="1" applyBorder="1" applyAlignment="1" applyProtection="1">
      <alignment horizontal="center"/>
    </xf>
    <xf numFmtId="165" fontId="21" fillId="0" borderId="0" xfId="1" applyNumberFormat="1" applyFont="1" applyFill="1" applyBorder="1" applyProtection="1"/>
    <xf numFmtId="165" fontId="21" fillId="0" borderId="0"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164" fontId="21" fillId="0" borderId="12" xfId="1" applyNumberFormat="1" applyFont="1" applyFill="1" applyBorder="1" applyAlignment="1" applyProtection="1">
      <alignment horizontal="center"/>
    </xf>
    <xf numFmtId="43" fontId="21" fillId="0" borderId="0" xfId="1" applyFont="1" applyFill="1" applyBorder="1" applyAlignment="1" applyProtection="1"/>
    <xf numFmtId="165" fontId="33" fillId="0" borderId="7" xfId="1" applyNumberFormat="1" applyFont="1" applyFill="1" applyBorder="1" applyAlignment="1" applyProtection="1">
      <alignment horizontal="center"/>
    </xf>
    <xf numFmtId="164" fontId="22" fillId="0" borderId="0" xfId="0" applyNumberFormat="1" applyFont="1" applyAlignment="1">
      <alignment wrapText="1"/>
    </xf>
    <xf numFmtId="164" fontId="22" fillId="0" borderId="0" xfId="0" applyNumberFormat="1" applyFont="1" applyAlignment="1">
      <alignment horizontal="center" wrapText="1"/>
    </xf>
    <xf numFmtId="164" fontId="22" fillId="0" borderId="0" xfId="0" applyNumberFormat="1" applyFont="1"/>
    <xf numFmtId="164" fontId="21" fillId="0" borderId="0" xfId="0" applyNumberFormat="1" applyFont="1" applyProtection="1">
      <protection locked="0"/>
    </xf>
    <xf numFmtId="164" fontId="42" fillId="0" borderId="0" xfId="0" applyNumberFormat="1" applyFont="1"/>
    <xf numFmtId="164" fontId="46" fillId="0" borderId="0" xfId="0" applyNumberFormat="1" applyFont="1" applyAlignment="1">
      <alignment horizontal="center"/>
    </xf>
    <xf numFmtId="164" fontId="33" fillId="0" borderId="0" xfId="4" applyNumberFormat="1" applyFont="1" applyFill="1" applyBorder="1" applyAlignment="1" applyProtection="1">
      <alignment horizontal="center"/>
    </xf>
    <xf numFmtId="1" fontId="20" fillId="0" borderId="0" xfId="0" applyNumberFormat="1" applyFont="1" applyAlignment="1">
      <alignment horizontal="center"/>
    </xf>
    <xf numFmtId="164" fontId="22" fillId="0" borderId="0" xfId="1" applyNumberFormat="1" applyFont="1" applyFill="1" applyBorder="1" applyAlignment="1" applyProtection="1">
      <alignment horizontal="center"/>
    </xf>
    <xf numFmtId="164" fontId="22" fillId="2" borderId="9" xfId="1" applyNumberFormat="1" applyFont="1" applyFill="1" applyBorder="1" applyAlignment="1" applyProtection="1">
      <alignment horizontal="center"/>
    </xf>
    <xf numFmtId="164" fontId="27" fillId="2" borderId="11" xfId="1" applyNumberFormat="1" applyFont="1" applyFill="1" applyBorder="1" applyAlignment="1" applyProtection="1">
      <alignment horizontal="center"/>
    </xf>
    <xf numFmtId="164" fontId="25" fillId="0" borderId="0" xfId="0" applyNumberFormat="1" applyFont="1"/>
    <xf numFmtId="165" fontId="25" fillId="0" borderId="0" xfId="1" quotePrefix="1" applyNumberFormat="1" applyFont="1" applyFill="1" applyBorder="1" applyAlignment="1" applyProtection="1">
      <alignment horizontal="center"/>
    </xf>
    <xf numFmtId="164" fontId="41" fillId="0" borderId="20" xfId="4" applyNumberFormat="1" applyFont="1" applyFill="1" applyBorder="1" applyAlignment="1" applyProtection="1"/>
    <xf numFmtId="164" fontId="42" fillId="0" borderId="21" xfId="0" applyNumberFormat="1" applyFont="1" applyBorder="1" applyAlignment="1">
      <alignment horizontal="center"/>
    </xf>
    <xf numFmtId="164" fontId="22" fillId="0" borderId="21" xfId="0" applyNumberFormat="1" applyFont="1" applyBorder="1" applyAlignment="1">
      <alignment horizontal="center"/>
    </xf>
    <xf numFmtId="164" fontId="38" fillId="0" borderId="22" xfId="0" applyNumberFormat="1" applyFont="1" applyBorder="1"/>
    <xf numFmtId="164" fontId="26" fillId="4" borderId="23" xfId="0" applyNumberFormat="1" applyFont="1" applyFill="1" applyBorder="1"/>
    <xf numFmtId="164" fontId="21" fillId="0" borderId="24" xfId="0" applyNumberFormat="1" applyFont="1" applyBorder="1"/>
    <xf numFmtId="164" fontId="38" fillId="0" borderId="23" xfId="0" applyNumberFormat="1" applyFont="1" applyBorder="1"/>
    <xf numFmtId="164" fontId="29" fillId="0" borderId="23" xfId="0" applyNumberFormat="1" applyFont="1" applyBorder="1"/>
    <xf numFmtId="164" fontId="41" fillId="0" borderId="0" xfId="0" applyNumberFormat="1" applyFont="1"/>
    <xf numFmtId="164" fontId="33" fillId="0" borderId="0" xfId="0" applyNumberFormat="1" applyFont="1" applyAlignment="1">
      <alignment horizontal="center"/>
    </xf>
    <xf numFmtId="164" fontId="33" fillId="0" borderId="0" xfId="0" applyNumberFormat="1" applyFont="1"/>
    <xf numFmtId="164" fontId="21" fillId="0" borderId="23" xfId="0" applyNumberFormat="1" applyFont="1" applyBorder="1"/>
    <xf numFmtId="164" fontId="21" fillId="0" borderId="0" xfId="0" applyNumberFormat="1" applyFont="1" applyAlignment="1">
      <alignment horizontal="center" vertical="center"/>
    </xf>
    <xf numFmtId="164" fontId="22" fillId="0" borderId="23" xfId="0" applyNumberFormat="1" applyFont="1" applyBorder="1"/>
    <xf numFmtId="164" fontId="22" fillId="0" borderId="0" xfId="0" quotePrefix="1" applyNumberFormat="1" applyFont="1" applyAlignment="1">
      <alignment horizontal="center"/>
    </xf>
    <xf numFmtId="164" fontId="38" fillId="0" borderId="0" xfId="0" applyNumberFormat="1" applyFont="1" applyAlignment="1">
      <alignment horizontal="center"/>
    </xf>
    <xf numFmtId="164" fontId="20" fillId="0" borderId="23" xfId="0" applyNumberFormat="1" applyFont="1" applyBorder="1"/>
    <xf numFmtId="164" fontId="21" fillId="0" borderId="23" xfId="0" applyNumberFormat="1" applyFont="1" applyBorder="1" applyProtection="1">
      <protection locked="0"/>
    </xf>
    <xf numFmtId="164" fontId="25" fillId="0" borderId="24" xfId="0" applyNumberFormat="1" applyFont="1" applyBorder="1"/>
    <xf numFmtId="164" fontId="21" fillId="0" borderId="26" xfId="0" applyNumberFormat="1" applyFont="1" applyBorder="1"/>
    <xf numFmtId="164" fontId="21" fillId="0" borderId="26" xfId="0" applyNumberFormat="1" applyFont="1" applyBorder="1" applyAlignment="1">
      <alignment horizontal="center"/>
    </xf>
    <xf numFmtId="164" fontId="22" fillId="0" borderId="26" xfId="0" applyNumberFormat="1" applyFont="1" applyBorder="1" applyAlignment="1">
      <alignment horizontal="center" wrapText="1"/>
    </xf>
    <xf numFmtId="165" fontId="21" fillId="0" borderId="26" xfId="1" quotePrefix="1" applyNumberFormat="1" applyFont="1" applyFill="1" applyBorder="1" applyAlignment="1" applyProtection="1">
      <alignment horizontal="center"/>
    </xf>
    <xf numFmtId="164" fontId="21" fillId="0" borderId="26" xfId="0" quotePrefix="1" applyNumberFormat="1" applyFont="1" applyBorder="1" applyAlignment="1">
      <alignment horizontal="center"/>
    </xf>
    <xf numFmtId="164" fontId="21" fillId="3" borderId="8" xfId="1" applyNumberFormat="1" applyFont="1" applyFill="1" applyBorder="1" applyAlignment="1" applyProtection="1">
      <alignment horizontal="center" vertical="center"/>
      <protection locked="0"/>
    </xf>
    <xf numFmtId="164" fontId="21" fillId="3" borderId="0" xfId="1" applyNumberFormat="1" applyFont="1" applyFill="1" applyBorder="1" applyAlignment="1" applyProtection="1">
      <alignment horizontal="center"/>
      <protection locked="0"/>
    </xf>
    <xf numFmtId="164" fontId="47" fillId="0" borderId="0" xfId="0" applyNumberFormat="1" applyFont="1"/>
    <xf numFmtId="164" fontId="44" fillId="2" borderId="30" xfId="0" applyNumberFormat="1" applyFont="1" applyFill="1" applyBorder="1" applyAlignment="1">
      <alignment horizontal="center"/>
    </xf>
    <xf numFmtId="164" fontId="45" fillId="2" borderId="31" xfId="0" applyNumberFormat="1" applyFont="1" applyFill="1" applyBorder="1"/>
    <xf numFmtId="164" fontId="40" fillId="0" borderId="4" xfId="0" applyNumberFormat="1" applyFont="1" applyBorder="1"/>
    <xf numFmtId="164" fontId="26" fillId="0" borderId="0" xfId="0" applyNumberFormat="1" applyFont="1"/>
    <xf numFmtId="164" fontId="40" fillId="0" borderId="0" xfId="0" applyNumberFormat="1" applyFont="1"/>
    <xf numFmtId="164" fontId="21" fillId="0" borderId="8" xfId="1" applyNumberFormat="1" applyFont="1" applyFill="1" applyBorder="1" applyAlignment="1" applyProtection="1">
      <alignment horizontal="center"/>
    </xf>
    <xf numFmtId="164" fontId="21" fillId="0" borderId="13" xfId="1" applyNumberFormat="1" applyFont="1" applyFill="1" applyBorder="1" applyAlignment="1" applyProtection="1">
      <alignment horizontal="center"/>
    </xf>
    <xf numFmtId="164" fontId="21" fillId="0" borderId="14" xfId="1" applyNumberFormat="1" applyFont="1" applyFill="1" applyBorder="1" applyAlignment="1" applyProtection="1">
      <alignment horizontal="center"/>
    </xf>
    <xf numFmtId="164" fontId="21" fillId="3" borderId="0" xfId="4" applyNumberFormat="1" applyFont="1" applyFill="1" applyBorder="1" applyAlignment="1" applyProtection="1">
      <alignment horizontal="center"/>
      <protection locked="0"/>
    </xf>
    <xf numFmtId="164" fontId="48" fillId="0" borderId="0" xfId="0" applyNumberFormat="1" applyFont="1"/>
    <xf numFmtId="164" fontId="27" fillId="0" borderId="40" xfId="0" applyNumberFormat="1" applyFont="1" applyBorder="1" applyAlignment="1">
      <alignment horizontal="center" wrapText="1"/>
    </xf>
    <xf numFmtId="164" fontId="21" fillId="0" borderId="23" xfId="0" applyNumberFormat="1" applyFont="1" applyBorder="1" applyAlignment="1">
      <alignment horizontal="right"/>
    </xf>
    <xf numFmtId="164" fontId="22" fillId="0" borderId="23" xfId="0" applyNumberFormat="1" applyFont="1" applyBorder="1" applyAlignment="1">
      <alignment horizontal="right"/>
    </xf>
    <xf numFmtId="164" fontId="27" fillId="0" borderId="23" xfId="0" applyNumberFormat="1" applyFont="1" applyBorder="1" applyAlignment="1">
      <alignment horizontal="right"/>
    </xf>
    <xf numFmtId="164" fontId="21" fillId="0" borderId="25" xfId="0" applyNumberFormat="1" applyFont="1" applyBorder="1"/>
    <xf numFmtId="164" fontId="21" fillId="0" borderId="27" xfId="0" applyNumberFormat="1" applyFont="1" applyBorder="1"/>
    <xf numFmtId="164" fontId="45" fillId="2" borderId="30" xfId="0" applyNumberFormat="1" applyFont="1" applyFill="1" applyBorder="1"/>
    <xf numFmtId="0" fontId="36" fillId="0" borderId="4" xfId="0" applyFont="1" applyBorder="1"/>
    <xf numFmtId="164" fontId="7" fillId="0" borderId="0" xfId="0" applyNumberFormat="1" applyFont="1" applyAlignment="1">
      <alignment horizontal="right"/>
    </xf>
    <xf numFmtId="164" fontId="12" fillId="0" borderId="0" xfId="0" applyNumberFormat="1" applyFont="1" applyAlignment="1">
      <alignment horizontal="center"/>
    </xf>
    <xf numFmtId="164" fontId="7" fillId="0" borderId="4" xfId="0" applyNumberFormat="1" applyFont="1" applyBorder="1" applyAlignment="1">
      <alignment horizontal="right"/>
    </xf>
    <xf numFmtId="0" fontId="36" fillId="2" borderId="3" xfId="0" applyFont="1" applyFill="1" applyBorder="1"/>
    <xf numFmtId="0" fontId="36" fillId="2" borderId="0" xfId="0" applyFont="1" applyFill="1"/>
    <xf numFmtId="164" fontId="12" fillId="0" borderId="0" xfId="0" applyNumberFormat="1" applyFont="1"/>
    <xf numFmtId="164" fontId="10" fillId="0" borderId="0" xfId="0" applyNumberFormat="1" applyFont="1"/>
    <xf numFmtId="164" fontId="38" fillId="0" borderId="0" xfId="0" applyNumberFormat="1" applyFont="1" applyAlignment="1">
      <alignment horizontal="right"/>
    </xf>
    <xf numFmtId="164" fontId="38" fillId="0" borderId="0" xfId="0" applyNumberFormat="1" applyFont="1" applyAlignment="1">
      <alignment vertical="center"/>
    </xf>
    <xf numFmtId="164" fontId="38" fillId="0" borderId="0" xfId="0" applyNumberFormat="1" applyFont="1" applyAlignment="1">
      <alignment horizontal="right" vertical="center"/>
    </xf>
    <xf numFmtId="164" fontId="21" fillId="0" borderId="0" xfId="1" applyNumberFormat="1" applyFont="1" applyFill="1" applyBorder="1" applyAlignment="1" applyProtection="1">
      <alignment horizontal="center" vertical="center"/>
    </xf>
    <xf numFmtId="164" fontId="38" fillId="0" borderId="0" xfId="1" applyNumberFormat="1" applyFont="1" applyFill="1" applyBorder="1" applyAlignment="1" applyProtection="1">
      <alignment vertical="center"/>
    </xf>
    <xf numFmtId="164" fontId="22" fillId="0" borderId="0" xfId="0" applyNumberFormat="1" applyFont="1" applyAlignment="1">
      <alignment horizontal="center" vertical="center"/>
    </xf>
    <xf numFmtId="164" fontId="49" fillId="2" borderId="9" xfId="1" applyNumberFormat="1" applyFont="1" applyFill="1" applyBorder="1" applyAlignment="1">
      <alignment horizontal="center"/>
    </xf>
    <xf numFmtId="164" fontId="22" fillId="2" borderId="9" xfId="1" applyNumberFormat="1" applyFont="1" applyFill="1" applyBorder="1" applyAlignment="1">
      <alignment horizontal="center"/>
    </xf>
    <xf numFmtId="164" fontId="21" fillId="0" borderId="0" xfId="0" applyNumberFormat="1" applyFont="1" applyAlignment="1">
      <alignment vertical="center"/>
    </xf>
    <xf numFmtId="164" fontId="21" fillId="0" borderId="0" xfId="0" applyNumberFormat="1" applyFont="1" applyAlignment="1">
      <alignment horizontal="right" vertical="center"/>
    </xf>
    <xf numFmtId="164" fontId="21" fillId="0" borderId="0" xfId="0" applyNumberFormat="1" applyFont="1" applyAlignment="1" applyProtection="1">
      <alignment horizontal="right" vertical="center"/>
      <protection locked="0"/>
    </xf>
    <xf numFmtId="164" fontId="4" fillId="0" borderId="0" xfId="0" applyNumberFormat="1" applyFont="1"/>
    <xf numFmtId="0" fontId="23" fillId="2" borderId="42" xfId="0" applyFont="1" applyFill="1" applyBorder="1" applyAlignment="1">
      <alignment vertical="center"/>
    </xf>
    <xf numFmtId="0" fontId="24" fillId="2" borderId="43" xfId="0" applyFont="1" applyFill="1" applyBorder="1" applyAlignment="1">
      <alignment vertical="center"/>
    </xf>
    <xf numFmtId="0" fontId="43" fillId="2" borderId="43" xfId="0" applyFont="1" applyFill="1" applyBorder="1" applyAlignment="1">
      <alignment horizontal="right" vertical="center" readingOrder="2"/>
    </xf>
    <xf numFmtId="0" fontId="24" fillId="2" borderId="43" xfId="0" applyFont="1" applyFill="1" applyBorder="1"/>
    <xf numFmtId="164" fontId="44" fillId="2" borderId="43" xfId="0" applyNumberFormat="1" applyFont="1" applyFill="1" applyBorder="1" applyAlignment="1">
      <alignment horizontal="center"/>
    </xf>
    <xf numFmtId="164" fontId="45" fillId="2" borderId="43" xfId="0" applyNumberFormat="1" applyFont="1" applyFill="1" applyBorder="1"/>
    <xf numFmtId="0" fontId="36" fillId="2" borderId="43" xfId="0" applyFont="1" applyFill="1" applyBorder="1"/>
    <xf numFmtId="0" fontId="36" fillId="2" borderId="44" xfId="0" applyFont="1" applyFill="1" applyBorder="1"/>
    <xf numFmtId="164" fontId="22" fillId="0" borderId="0" xfId="0" applyNumberFormat="1" applyFont="1" applyAlignment="1">
      <alignment vertical="center"/>
    </xf>
    <xf numFmtId="164" fontId="38" fillId="0" borderId="38" xfId="0" applyNumberFormat="1" applyFont="1" applyBorder="1"/>
    <xf numFmtId="164" fontId="20" fillId="0" borderId="38" xfId="0" applyNumberFormat="1" applyFont="1" applyBorder="1" applyAlignment="1">
      <alignment horizontal="center" vertical="center" wrapText="1"/>
    </xf>
    <xf numFmtId="164" fontId="20" fillId="0" borderId="38" xfId="0" applyNumberFormat="1" applyFont="1" applyBorder="1" applyAlignment="1">
      <alignment horizontal="center" vertical="center"/>
    </xf>
    <xf numFmtId="164" fontId="41" fillId="0" borderId="38" xfId="0" applyNumberFormat="1" applyFont="1" applyBorder="1" applyAlignment="1">
      <alignment vertical="center"/>
    </xf>
    <xf numFmtId="164" fontId="9" fillId="0" borderId="20" xfId="4" applyNumberFormat="1" applyFont="1" applyFill="1" applyBorder="1" applyAlignment="1" applyProtection="1"/>
    <xf numFmtId="164" fontId="7" fillId="0" borderId="21" xfId="0" applyNumberFormat="1" applyFont="1" applyBorder="1"/>
    <xf numFmtId="164" fontId="7" fillId="0" borderId="22" xfId="0" applyNumberFormat="1" applyFont="1" applyBorder="1"/>
    <xf numFmtId="164" fontId="38" fillId="0" borderId="45" xfId="0" applyNumberFormat="1" applyFont="1" applyBorder="1"/>
    <xf numFmtId="164" fontId="20" fillId="0" borderId="46" xfId="0" applyNumberFormat="1" applyFont="1" applyBorder="1" applyAlignment="1">
      <alignment horizontal="center" vertical="center" wrapText="1"/>
    </xf>
    <xf numFmtId="164" fontId="22" fillId="0" borderId="24" xfId="0" applyNumberFormat="1" applyFont="1" applyBorder="1" applyAlignment="1">
      <alignment horizontal="center"/>
    </xf>
    <xf numFmtId="164" fontId="21" fillId="0" borderId="23" xfId="0" applyNumberFormat="1" applyFont="1" applyBorder="1" applyAlignment="1">
      <alignment vertical="center"/>
    </xf>
    <xf numFmtId="164" fontId="22" fillId="0" borderId="47" xfId="1" applyNumberFormat="1" applyFont="1" applyFill="1" applyBorder="1" applyAlignment="1" applyProtection="1">
      <alignment horizontal="center" vertical="center"/>
    </xf>
    <xf numFmtId="164" fontId="22" fillId="0" borderId="24" xfId="0" applyNumberFormat="1" applyFont="1" applyBorder="1" applyAlignment="1">
      <alignment horizontal="center" vertical="center"/>
    </xf>
    <xf numFmtId="164" fontId="22" fillId="0" borderId="23" xfId="0" applyNumberFormat="1" applyFont="1" applyBorder="1" applyAlignment="1">
      <alignment vertical="center"/>
    </xf>
    <xf numFmtId="164" fontId="49" fillId="2" borderId="48" xfId="1" applyNumberFormat="1" applyFont="1" applyFill="1" applyBorder="1" applyAlignment="1">
      <alignment horizontal="center"/>
    </xf>
    <xf numFmtId="164" fontId="22" fillId="0" borderId="24" xfId="1" applyNumberFormat="1" applyFont="1" applyFill="1" applyBorder="1" applyAlignment="1" applyProtection="1">
      <alignment horizontal="center" vertical="center"/>
    </xf>
    <xf numFmtId="164" fontId="21" fillId="0" borderId="23" xfId="0" applyNumberFormat="1" applyFont="1" applyBorder="1" applyAlignment="1">
      <alignment horizontal="right" vertical="center"/>
    </xf>
    <xf numFmtId="164" fontId="21" fillId="0" borderId="23" xfId="0" applyNumberFormat="1" applyFont="1" applyBorder="1" applyAlignment="1" applyProtection="1">
      <alignment horizontal="right" vertical="center"/>
      <protection locked="0"/>
    </xf>
    <xf numFmtId="164" fontId="22" fillId="0" borderId="49" xfId="1" applyNumberFormat="1" applyFont="1" applyFill="1" applyBorder="1" applyAlignment="1" applyProtection="1">
      <alignment horizontal="center" vertical="center"/>
    </xf>
    <xf numFmtId="164" fontId="22" fillId="2" borderId="48" xfId="1" applyNumberFormat="1" applyFont="1" applyFill="1" applyBorder="1" applyAlignment="1">
      <alignment horizontal="center"/>
    </xf>
    <xf numFmtId="164" fontId="4" fillId="0" borderId="25" xfId="0" applyNumberFormat="1" applyFont="1" applyBorder="1"/>
    <xf numFmtId="164" fontId="7" fillId="0" borderId="26" xfId="0" applyNumberFormat="1" applyFont="1" applyBorder="1"/>
    <xf numFmtId="164" fontId="4" fillId="0" borderId="27" xfId="0" applyNumberFormat="1" applyFont="1" applyBorder="1" applyAlignment="1">
      <alignment horizontal="center"/>
    </xf>
    <xf numFmtId="0" fontId="24" fillId="2" borderId="44" xfId="0" applyFont="1" applyFill="1" applyBorder="1"/>
    <xf numFmtId="0" fontId="37" fillId="0" borderId="4" xfId="0" applyFont="1" applyBorder="1" applyAlignment="1">
      <alignment vertical="center" readingOrder="2"/>
    </xf>
    <xf numFmtId="0" fontId="26" fillId="0" borderId="0" xfId="0" applyFont="1" applyAlignment="1">
      <alignment horizontal="center" readingOrder="2"/>
    </xf>
    <xf numFmtId="164" fontId="38" fillId="0" borderId="0" xfId="0" applyNumberFormat="1" applyFont="1" applyAlignment="1" applyProtection="1">
      <alignment horizontal="right"/>
      <protection locked="0"/>
    </xf>
    <xf numFmtId="164" fontId="21" fillId="0" borderId="15" xfId="0" applyNumberFormat="1" applyFont="1" applyBorder="1" applyAlignment="1">
      <alignment horizontal="center"/>
    </xf>
    <xf numFmtId="164" fontId="21" fillId="0" borderId="7" xfId="0" applyNumberFormat="1" applyFont="1" applyBorder="1" applyAlignment="1">
      <alignment horizontal="center"/>
    </xf>
    <xf numFmtId="164" fontId="21" fillId="0" borderId="6" xfId="0" applyNumberFormat="1" applyFont="1" applyBorder="1" applyAlignment="1">
      <alignment horizontal="right"/>
    </xf>
    <xf numFmtId="164" fontId="41" fillId="0" borderId="0" xfId="0" applyNumberFormat="1" applyFont="1" applyAlignment="1">
      <alignment horizontal="right"/>
    </xf>
    <xf numFmtId="164" fontId="42" fillId="0" borderId="0" xfId="0" applyNumberFormat="1" applyFont="1" applyAlignment="1">
      <alignment horizontal="center"/>
    </xf>
    <xf numFmtId="164" fontId="50" fillId="0" borderId="0" xfId="4" applyNumberFormat="1" applyFont="1" applyFill="1" applyBorder="1" applyAlignment="1" applyProtection="1"/>
    <xf numFmtId="164" fontId="38" fillId="0" borderId="0" xfId="0" applyNumberFormat="1" applyFont="1" applyAlignment="1">
      <alignment horizontal="right" wrapText="1" readingOrder="2"/>
    </xf>
    <xf numFmtId="164" fontId="38" fillId="0" borderId="0" xfId="0" applyNumberFormat="1" applyFont="1" applyAlignment="1">
      <alignment horizontal="right" wrapText="1"/>
    </xf>
    <xf numFmtId="164" fontId="38" fillId="0" borderId="0" xfId="0" applyNumberFormat="1" applyFont="1" applyAlignment="1">
      <alignment horizontal="right" readingOrder="2"/>
    </xf>
    <xf numFmtId="164" fontId="51" fillId="0" borderId="0" xfId="0" applyNumberFormat="1" applyFont="1" applyAlignment="1">
      <alignment horizontal="right" readingOrder="2"/>
    </xf>
    <xf numFmtId="164" fontId="20" fillId="0" borderId="0" xfId="0" applyNumberFormat="1" applyFont="1" applyAlignment="1">
      <alignment horizontal="right" readingOrder="2"/>
    </xf>
    <xf numFmtId="164" fontId="20" fillId="0" borderId="0" xfId="0" applyNumberFormat="1" applyFont="1" applyAlignment="1">
      <alignment horizontal="right" vertical="top" wrapText="1"/>
    </xf>
    <xf numFmtId="164" fontId="21" fillId="0" borderId="0" xfId="0" applyNumberFormat="1" applyFont="1" applyAlignment="1">
      <alignment vertical="top" wrapText="1"/>
    </xf>
    <xf numFmtId="164" fontId="24" fillId="0" borderId="0" xfId="0" applyNumberFormat="1" applyFont="1"/>
    <xf numFmtId="164" fontId="27" fillId="2" borderId="9" xfId="1" applyNumberFormat="1" applyFont="1" applyFill="1" applyBorder="1" applyAlignment="1">
      <alignment horizontal="center"/>
    </xf>
    <xf numFmtId="164" fontId="21" fillId="4" borderId="0" xfId="0" applyNumberFormat="1" applyFont="1" applyFill="1" applyAlignment="1">
      <alignment horizontal="right"/>
    </xf>
    <xf numFmtId="164" fontId="23" fillId="4" borderId="0" xfId="0" applyNumberFormat="1" applyFont="1" applyFill="1"/>
    <xf numFmtId="164" fontId="29" fillId="0" borderId="0" xfId="0" applyNumberFormat="1" applyFont="1" applyAlignment="1">
      <alignment horizontal="right" readingOrder="2"/>
    </xf>
    <xf numFmtId="164" fontId="41" fillId="0" borderId="52" xfId="4" applyNumberFormat="1" applyFont="1" applyFill="1" applyBorder="1" applyAlignment="1" applyProtection="1">
      <alignment horizontal="right"/>
    </xf>
    <xf numFmtId="164" fontId="38" fillId="0" borderId="53" xfId="0" applyNumberFormat="1" applyFont="1" applyBorder="1" applyAlignment="1">
      <alignment horizontal="right"/>
    </xf>
    <xf numFmtId="164" fontId="38" fillId="0" borderId="53" xfId="0" applyNumberFormat="1" applyFont="1" applyBorder="1"/>
    <xf numFmtId="164" fontId="38" fillId="0" borderId="54" xfId="0" applyNumberFormat="1" applyFont="1" applyBorder="1" applyAlignment="1">
      <alignment horizontal="right"/>
    </xf>
    <xf numFmtId="1" fontId="20" fillId="0" borderId="55" xfId="0" applyNumberFormat="1" applyFont="1" applyBorder="1" applyAlignment="1">
      <alignment horizontal="center"/>
    </xf>
    <xf numFmtId="164" fontId="38" fillId="0" borderId="56" xfId="0" applyNumberFormat="1" applyFont="1" applyBorder="1" applyAlignment="1">
      <alignment horizontal="right"/>
    </xf>
    <xf numFmtId="164" fontId="21" fillId="0" borderId="55" xfId="0" applyNumberFormat="1" applyFont="1" applyBorder="1" applyAlignment="1">
      <alignment horizontal="right"/>
    </xf>
    <xf numFmtId="164" fontId="27" fillId="0" borderId="55" xfId="0" applyNumberFormat="1" applyFont="1" applyBorder="1" applyAlignment="1">
      <alignment horizontal="right"/>
    </xf>
    <xf numFmtId="164" fontId="21" fillId="0" borderId="56" xfId="0" applyNumberFormat="1" applyFont="1" applyBorder="1" applyAlignment="1">
      <alignment horizontal="right"/>
    </xf>
    <xf numFmtId="164" fontId="21" fillId="0" borderId="55" xfId="0" applyNumberFormat="1" applyFont="1" applyBorder="1" applyAlignment="1">
      <alignment horizontal="center"/>
    </xf>
    <xf numFmtId="164" fontId="27" fillId="0" borderId="0" xfId="0" applyNumberFormat="1" applyFont="1" applyAlignment="1">
      <alignment horizontal="center"/>
    </xf>
    <xf numFmtId="164" fontId="21" fillId="0" borderId="57" xfId="0" applyNumberFormat="1" applyFont="1" applyBorder="1" applyAlignment="1">
      <alignment horizontal="right"/>
    </xf>
    <xf numFmtId="164" fontId="21" fillId="0" borderId="58" xfId="0" applyNumberFormat="1" applyFont="1" applyBorder="1" applyAlignment="1">
      <alignment horizontal="right"/>
    </xf>
    <xf numFmtId="164" fontId="38" fillId="0" borderId="58" xfId="0" applyNumberFormat="1" applyFont="1" applyBorder="1" applyAlignment="1">
      <alignment horizontal="right"/>
    </xf>
    <xf numFmtId="164" fontId="38" fillId="0" borderId="59" xfId="0" applyNumberFormat="1" applyFont="1" applyBorder="1" applyAlignment="1">
      <alignment horizontal="right"/>
    </xf>
    <xf numFmtId="164" fontId="27" fillId="4" borderId="0" xfId="0" applyNumberFormat="1" applyFont="1" applyFill="1" applyAlignment="1">
      <alignment horizontal="right" readingOrder="2"/>
    </xf>
    <xf numFmtId="164" fontId="22" fillId="0" borderId="0" xfId="0" applyNumberFormat="1" applyFont="1" applyAlignment="1">
      <alignment horizontal="right" readingOrder="2"/>
    </xf>
    <xf numFmtId="164" fontId="25" fillId="4" borderId="0" xfId="0" applyNumberFormat="1" applyFont="1" applyFill="1" applyAlignment="1">
      <alignment horizontal="right"/>
    </xf>
    <xf numFmtId="164" fontId="27" fillId="4" borderId="0" xfId="0" applyNumberFormat="1" applyFont="1" applyFill="1" applyAlignment="1">
      <alignment horizontal="right"/>
    </xf>
    <xf numFmtId="0" fontId="20" fillId="0" borderId="0" xfId="0" applyFont="1"/>
    <xf numFmtId="164" fontId="20" fillId="0" borderId="0" xfId="0" applyNumberFormat="1" applyFont="1"/>
    <xf numFmtId="164" fontId="33" fillId="0" borderId="0" xfId="4" applyNumberFormat="1" applyFont="1" applyFill="1" applyBorder="1" applyAlignment="1" applyProtection="1"/>
    <xf numFmtId="164" fontId="27" fillId="0" borderId="0" xfId="0" applyNumberFormat="1" applyFont="1"/>
    <xf numFmtId="0" fontId="20" fillId="0" borderId="20" xfId="0" applyFont="1" applyBorder="1"/>
    <xf numFmtId="0" fontId="18" fillId="0" borderId="23" xfId="0" applyFont="1" applyBorder="1"/>
    <xf numFmtId="0" fontId="18" fillId="0" borderId="24" xfId="0" applyFont="1" applyBorder="1"/>
    <xf numFmtId="0" fontId="18" fillId="0" borderId="25" xfId="0" applyFont="1" applyBorder="1"/>
    <xf numFmtId="0" fontId="18" fillId="0" borderId="26" xfId="0" applyFont="1" applyBorder="1"/>
    <xf numFmtId="0" fontId="52" fillId="0" borderId="0" xfId="0" applyFont="1" applyAlignment="1">
      <alignment vertical="center"/>
    </xf>
    <xf numFmtId="0" fontId="52" fillId="0" borderId="0" xfId="0" quotePrefix="1" applyFont="1" applyAlignment="1">
      <alignment vertical="center"/>
    </xf>
    <xf numFmtId="0" fontId="52" fillId="0" borderId="26" xfId="0" applyFont="1" applyBorder="1" applyAlignment="1">
      <alignment vertical="center"/>
    </xf>
    <xf numFmtId="0" fontId="18" fillId="0" borderId="24" xfId="0" applyFont="1" applyBorder="1" applyAlignment="1">
      <alignment vertical="center"/>
    </xf>
    <xf numFmtId="164" fontId="20" fillId="4" borderId="0" xfId="0" applyNumberFormat="1" applyFont="1" applyFill="1" applyAlignment="1">
      <alignment horizontal="right" vertical="center"/>
    </xf>
    <xf numFmtId="164" fontId="33" fillId="0" borderId="52" xfId="4" applyNumberFormat="1" applyFont="1" applyFill="1" applyBorder="1" applyAlignment="1" applyProtection="1"/>
    <xf numFmtId="164" fontId="21" fillId="0" borderId="53" xfId="0" applyNumberFormat="1" applyFont="1" applyBorder="1"/>
    <xf numFmtId="164" fontId="21" fillId="0" borderId="54" xfId="0" applyNumberFormat="1" applyFont="1" applyBorder="1"/>
    <xf numFmtId="164" fontId="29" fillId="4" borderId="55" xfId="0" applyNumberFormat="1" applyFont="1" applyFill="1" applyBorder="1" applyAlignment="1">
      <alignment horizontal="right" vertical="center"/>
    </xf>
    <xf numFmtId="164" fontId="20" fillId="0" borderId="56" xfId="0" applyNumberFormat="1" applyFont="1" applyBorder="1"/>
    <xf numFmtId="164" fontId="21" fillId="0" borderId="55" xfId="0" applyNumberFormat="1" applyFont="1" applyBorder="1"/>
    <xf numFmtId="164" fontId="21" fillId="0" borderId="56" xfId="0" applyNumberFormat="1" applyFont="1" applyBorder="1"/>
    <xf numFmtId="164" fontId="27" fillId="0" borderId="55" xfId="0" applyNumberFormat="1" applyFont="1" applyBorder="1"/>
    <xf numFmtId="164" fontId="22" fillId="0" borderId="55" xfId="0" applyNumberFormat="1" applyFont="1" applyBorder="1"/>
    <xf numFmtId="164" fontId="21" fillId="0" borderId="57" xfId="0" applyNumberFormat="1" applyFont="1" applyBorder="1"/>
    <xf numFmtId="164" fontId="21" fillId="0" borderId="58" xfId="0" applyNumberFormat="1" applyFont="1" applyBorder="1"/>
    <xf numFmtId="164" fontId="27" fillId="0" borderId="58" xfId="0" applyNumberFormat="1" applyFont="1" applyBorder="1"/>
    <xf numFmtId="164" fontId="21" fillId="0" borderId="59" xfId="0" applyNumberFormat="1" applyFont="1" applyBorder="1"/>
    <xf numFmtId="0" fontId="53" fillId="0" borderId="0" xfId="0" applyFont="1"/>
    <xf numFmtId="0" fontId="54" fillId="0" borderId="0" xfId="0" applyFont="1"/>
    <xf numFmtId="164" fontId="48" fillId="0" borderId="0" xfId="0" applyNumberFormat="1" applyFont="1" applyAlignment="1">
      <alignment horizontal="center"/>
    </xf>
    <xf numFmtId="164" fontId="20" fillId="0" borderId="0" xfId="0" applyNumberFormat="1" applyFont="1" applyAlignment="1">
      <alignment wrapText="1"/>
    </xf>
    <xf numFmtId="164" fontId="38" fillId="0" borderId="52" xfId="0" applyNumberFormat="1" applyFont="1" applyBorder="1"/>
    <xf numFmtId="164" fontId="38" fillId="0" borderId="54" xfId="0" applyNumberFormat="1" applyFont="1" applyBorder="1"/>
    <xf numFmtId="164" fontId="27" fillId="0" borderId="56" xfId="0" applyNumberFormat="1" applyFont="1" applyBorder="1"/>
    <xf numFmtId="164" fontId="38" fillId="0" borderId="56" xfId="0" applyNumberFormat="1" applyFont="1" applyBorder="1"/>
    <xf numFmtId="164" fontId="22" fillId="0" borderId="55" xfId="0" applyNumberFormat="1" applyFont="1" applyBorder="1" applyAlignment="1">
      <alignment horizontal="center" vertical="top"/>
    </xf>
    <xf numFmtId="164" fontId="38" fillId="0" borderId="57" xfId="0" applyNumberFormat="1" applyFont="1" applyBorder="1"/>
    <xf numFmtId="164" fontId="38" fillId="0" borderId="58" xfId="0" applyNumberFormat="1" applyFont="1" applyBorder="1"/>
    <xf numFmtId="164" fontId="38" fillId="0" borderId="59" xfId="0" applyNumberFormat="1" applyFont="1" applyBorder="1"/>
    <xf numFmtId="164" fontId="20" fillId="0" borderId="0" xfId="0" applyNumberFormat="1" applyFont="1" applyAlignment="1">
      <alignment vertical="center"/>
    </xf>
    <xf numFmtId="164" fontId="20" fillId="0" borderId="55" xfId="0" applyNumberFormat="1" applyFont="1" applyBorder="1"/>
    <xf numFmtId="164" fontId="22" fillId="0" borderId="0" xfId="0" applyNumberFormat="1" applyFont="1" applyAlignment="1">
      <alignment horizontal="right"/>
    </xf>
    <xf numFmtId="164" fontId="21" fillId="0" borderId="0" xfId="0" applyNumberFormat="1" applyFont="1" applyAlignment="1">
      <alignment horizontal="right" readingOrder="2"/>
    </xf>
    <xf numFmtId="164" fontId="20" fillId="0" borderId="0" xfId="0" applyNumberFormat="1" applyFont="1" applyAlignment="1">
      <alignment horizontal="right"/>
    </xf>
    <xf numFmtId="164" fontId="33" fillId="0" borderId="0" xfId="0" applyNumberFormat="1" applyFont="1" applyAlignment="1">
      <alignment horizontal="right"/>
    </xf>
    <xf numFmtId="164" fontId="21" fillId="0" borderId="0" xfId="0" applyNumberFormat="1" applyFont="1" applyAlignment="1" applyProtection="1">
      <alignment horizontal="right"/>
      <protection locked="0"/>
    </xf>
    <xf numFmtId="164" fontId="21" fillId="0" borderId="0" xfId="0" applyNumberFormat="1" applyFont="1" applyAlignment="1">
      <alignment horizontal="left"/>
    </xf>
    <xf numFmtId="164" fontId="51" fillId="0" borderId="0" xfId="0" applyNumberFormat="1" applyFont="1" applyAlignment="1">
      <alignment horizontal="right"/>
    </xf>
    <xf numFmtId="0" fontId="21" fillId="0" borderId="3" xfId="0" applyFont="1" applyBorder="1"/>
    <xf numFmtId="0" fontId="21" fillId="0" borderId="4" xfId="0" applyFont="1" applyBorder="1"/>
    <xf numFmtId="164" fontId="21" fillId="0" borderId="4" xfId="0" applyNumberFormat="1" applyFont="1" applyBorder="1" applyAlignment="1">
      <alignment horizontal="right"/>
    </xf>
    <xf numFmtId="164" fontId="25" fillId="0" borderId="0" xfId="0" applyNumberFormat="1" applyFont="1" applyAlignment="1">
      <alignment horizontal="right"/>
    </xf>
    <xf numFmtId="164" fontId="27" fillId="0" borderId="0" xfId="0" applyNumberFormat="1" applyFont="1" applyAlignment="1">
      <alignment horizontal="right" readingOrder="2"/>
    </xf>
    <xf numFmtId="164" fontId="29" fillId="4" borderId="0" xfId="0" applyNumberFormat="1" applyFont="1" applyFill="1" applyAlignment="1">
      <alignment horizontal="right" readingOrder="2"/>
    </xf>
    <xf numFmtId="164" fontId="25" fillId="0" borderId="0" xfId="0" applyNumberFormat="1" applyFont="1" applyAlignment="1">
      <alignment horizontal="center"/>
    </xf>
    <xf numFmtId="0" fontId="33" fillId="0" borderId="0" xfId="0" applyFont="1"/>
    <xf numFmtId="164" fontId="45" fillId="2" borderId="3" xfId="0" applyNumberFormat="1" applyFont="1" applyFill="1" applyBorder="1"/>
    <xf numFmtId="164" fontId="45" fillId="2" borderId="0" xfId="0" applyNumberFormat="1" applyFont="1" applyFill="1" applyAlignment="1">
      <alignment horizontal="center"/>
    </xf>
    <xf numFmtId="164" fontId="45" fillId="2" borderId="43" xfId="0" applyNumberFormat="1" applyFont="1" applyFill="1" applyBorder="1" applyAlignment="1">
      <alignment horizontal="center"/>
    </xf>
    <xf numFmtId="164" fontId="27" fillId="4" borderId="0" xfId="0" applyNumberFormat="1" applyFont="1" applyFill="1" applyAlignment="1">
      <alignment horizontal="center"/>
    </xf>
    <xf numFmtId="164" fontId="29" fillId="4" borderId="0" xfId="0" applyNumberFormat="1" applyFont="1" applyFill="1" applyAlignment="1">
      <alignment horizontal="right" vertical="top" readingOrder="2"/>
    </xf>
    <xf numFmtId="164" fontId="21" fillId="3" borderId="18" xfId="0" applyNumberFormat="1" applyFont="1" applyFill="1" applyBorder="1" applyAlignment="1" applyProtection="1">
      <alignment horizontal="center" vertical="center" readingOrder="2"/>
      <protection locked="0"/>
    </xf>
    <xf numFmtId="164" fontId="21" fillId="3" borderId="12" xfId="0" applyNumberFormat="1" applyFont="1" applyFill="1" applyBorder="1" applyAlignment="1" applyProtection="1">
      <alignment horizontal="center" vertical="center" readingOrder="2"/>
      <protection locked="0"/>
    </xf>
    <xf numFmtId="164" fontId="22" fillId="2" borderId="9" xfId="1" applyNumberFormat="1" applyFont="1" applyFill="1" applyBorder="1" applyAlignment="1">
      <alignment horizontal="center" vertical="center"/>
    </xf>
    <xf numFmtId="164" fontId="21" fillId="0" borderId="0" xfId="0" applyNumberFormat="1" applyFont="1" applyAlignment="1">
      <alignment horizontal="center" vertical="center" readingOrder="2"/>
    </xf>
    <xf numFmtId="164" fontId="21" fillId="0" borderId="53" xfId="0" applyNumberFormat="1" applyFont="1" applyBorder="1" applyAlignment="1">
      <alignment horizontal="right"/>
    </xf>
    <xf numFmtId="164" fontId="21" fillId="0" borderId="54" xfId="0" applyNumberFormat="1" applyFont="1" applyBorder="1" applyAlignment="1">
      <alignment horizontal="right"/>
    </xf>
    <xf numFmtId="164" fontId="29" fillId="4" borderId="55" xfId="0" applyNumberFormat="1" applyFont="1" applyFill="1" applyBorder="1" applyAlignment="1">
      <alignment horizontal="right" readingOrder="2"/>
    </xf>
    <xf numFmtId="164" fontId="25" fillId="0" borderId="56" xfId="0" applyNumberFormat="1" applyFont="1" applyBorder="1" applyAlignment="1">
      <alignment horizontal="right"/>
    </xf>
    <xf numFmtId="164" fontId="21" fillId="3" borderId="0" xfId="0" applyNumberFormat="1" applyFont="1" applyFill="1" applyAlignment="1" applyProtection="1">
      <alignment horizontal="center" vertical="top" readingOrder="2"/>
      <protection locked="0"/>
    </xf>
    <xf numFmtId="164" fontId="29" fillId="4" borderId="55" xfId="0" applyNumberFormat="1" applyFont="1" applyFill="1" applyBorder="1" applyAlignment="1">
      <alignment horizontal="right" vertical="top" readingOrder="2"/>
    </xf>
    <xf numFmtId="164" fontId="21" fillId="0" borderId="0" xfId="0" applyNumberFormat="1" applyFont="1" applyAlignment="1" applyProtection="1">
      <alignment horizontal="right" vertical="top" readingOrder="2"/>
      <protection locked="0"/>
    </xf>
    <xf numFmtId="164" fontId="33" fillId="0" borderId="17" xfId="4" applyNumberFormat="1" applyFont="1" applyFill="1" applyBorder="1" applyAlignment="1" applyProtection="1"/>
    <xf numFmtId="164" fontId="21" fillId="0" borderId="17" xfId="0" applyNumberFormat="1" applyFont="1" applyBorder="1" applyAlignment="1">
      <alignment horizontal="right"/>
    </xf>
    <xf numFmtId="164" fontId="22" fillId="0" borderId="17" xfId="0" applyNumberFormat="1" applyFont="1" applyBorder="1" applyAlignment="1">
      <alignment horizontal="right"/>
    </xf>
    <xf numFmtId="164" fontId="22" fillId="0" borderId="55" xfId="0" applyNumberFormat="1" applyFont="1" applyBorder="1" applyAlignment="1">
      <alignment horizontal="right"/>
    </xf>
    <xf numFmtId="164" fontId="29" fillId="4" borderId="52" xfId="0" applyNumberFormat="1" applyFont="1" applyFill="1" applyBorder="1" applyAlignment="1">
      <alignment horizontal="right" readingOrder="2"/>
    </xf>
    <xf numFmtId="164" fontId="27" fillId="4" borderId="53" xfId="0" applyNumberFormat="1" applyFont="1" applyFill="1" applyBorder="1" applyAlignment="1">
      <alignment horizontal="center"/>
    </xf>
    <xf numFmtId="164" fontId="29" fillId="4" borderId="53" xfId="0" applyNumberFormat="1" applyFont="1" applyFill="1" applyBorder="1" applyAlignment="1">
      <alignment horizontal="right" readingOrder="2"/>
    </xf>
    <xf numFmtId="164" fontId="33" fillId="0" borderId="55" xfId="4" applyNumberFormat="1" applyFont="1" applyFill="1" applyBorder="1" applyAlignment="1" applyProtection="1"/>
    <xf numFmtId="164" fontId="21" fillId="0" borderId="55" xfId="0" applyNumberFormat="1" applyFont="1" applyBorder="1" applyAlignment="1">
      <alignment horizontal="right" readingOrder="2"/>
    </xf>
    <xf numFmtId="164" fontId="21" fillId="3" borderId="0" xfId="0" applyNumberFormat="1" applyFont="1" applyFill="1" applyAlignment="1" applyProtection="1">
      <alignment horizontal="center" vertical="center"/>
      <protection locked="0"/>
    </xf>
    <xf numFmtId="164" fontId="22" fillId="0" borderId="55" xfId="0" applyNumberFormat="1" applyFont="1" applyBorder="1" applyAlignment="1">
      <alignment horizontal="right" readingOrder="2"/>
    </xf>
    <xf numFmtId="164" fontId="22" fillId="0" borderId="56" xfId="0" applyNumberFormat="1" applyFont="1" applyBorder="1" applyAlignment="1">
      <alignment horizontal="right"/>
    </xf>
    <xf numFmtId="164" fontId="51" fillId="0" borderId="55" xfId="0" applyNumberFormat="1" applyFont="1" applyBorder="1" applyAlignment="1">
      <alignment horizontal="right" readingOrder="2"/>
    </xf>
    <xf numFmtId="164" fontId="21" fillId="0" borderId="67" xfId="0" applyNumberFormat="1" applyFont="1" applyBorder="1" applyAlignment="1">
      <alignment horizontal="right" readingOrder="2"/>
    </xf>
    <xf numFmtId="164" fontId="22" fillId="0" borderId="58" xfId="0" applyNumberFormat="1" applyFont="1" applyBorder="1"/>
    <xf numFmtId="164" fontId="21" fillId="0" borderId="59" xfId="0" applyNumberFormat="1" applyFont="1" applyBorder="1" applyAlignment="1">
      <alignment horizontal="right"/>
    </xf>
    <xf numFmtId="164" fontId="21" fillId="3" borderId="0" xfId="0" applyNumberFormat="1" applyFont="1" applyFill="1" applyAlignment="1" applyProtection="1">
      <alignment horizontal="center"/>
      <protection locked="0"/>
    </xf>
    <xf numFmtId="164" fontId="49" fillId="2" borderId="15" xfId="1" applyNumberFormat="1" applyFont="1" applyFill="1" applyBorder="1" applyAlignment="1">
      <alignment horizontal="center"/>
    </xf>
    <xf numFmtId="164" fontId="49" fillId="0" borderId="0" xfId="1" applyNumberFormat="1" applyFont="1" applyFill="1" applyBorder="1" applyAlignment="1">
      <alignment horizontal="center"/>
    </xf>
    <xf numFmtId="14" fontId="21" fillId="3" borderId="0" xfId="0" applyNumberFormat="1" applyFont="1" applyFill="1" applyProtection="1">
      <protection locked="0"/>
    </xf>
    <xf numFmtId="164" fontId="21" fillId="3" borderId="0" xfId="0" applyNumberFormat="1" applyFont="1" applyFill="1" applyProtection="1">
      <protection locked="0"/>
    </xf>
    <xf numFmtId="165" fontId="21" fillId="3" borderId="0" xfId="1" applyNumberFormat="1" applyFont="1" applyFill="1" applyBorder="1" applyAlignment="1" applyProtection="1">
      <protection locked="0"/>
    </xf>
    <xf numFmtId="9" fontId="21" fillId="3" borderId="0" xfId="2" applyFont="1" applyFill="1" applyBorder="1" applyAlignment="1" applyProtection="1">
      <protection locked="0"/>
    </xf>
    <xf numFmtId="164" fontId="22" fillId="0" borderId="0" xfId="0" applyNumberFormat="1" applyFont="1" applyAlignment="1">
      <alignment horizontal="right" vertical="center"/>
    </xf>
    <xf numFmtId="164" fontId="51" fillId="0" borderId="0" xfId="0" applyNumberFormat="1" applyFont="1" applyAlignment="1">
      <alignment horizontal="right" vertical="center"/>
    </xf>
    <xf numFmtId="164" fontId="49" fillId="2" borderId="9" xfId="1" applyNumberFormat="1" applyFont="1" applyFill="1" applyBorder="1" applyAlignment="1">
      <alignment horizontal="center" vertical="center"/>
    </xf>
    <xf numFmtId="164" fontId="22" fillId="0" borderId="0" xfId="0" applyNumberFormat="1" applyFont="1" applyAlignment="1">
      <alignment vertical="center" wrapText="1"/>
    </xf>
    <xf numFmtId="164" fontId="20" fillId="0" borderId="0" xfId="0" applyNumberFormat="1" applyFont="1" applyAlignment="1">
      <alignment horizontal="center" wrapText="1"/>
    </xf>
    <xf numFmtId="164" fontId="41" fillId="0" borderId="52" xfId="4" applyNumberFormat="1" applyFont="1" applyFill="1" applyBorder="1" applyAlignment="1" applyProtection="1"/>
    <xf numFmtId="1" fontId="21" fillId="0" borderId="0" xfId="0" applyNumberFormat="1" applyFont="1"/>
    <xf numFmtId="0" fontId="21" fillId="0" borderId="0" xfId="0" applyFont="1" applyAlignment="1">
      <alignment horizontal="right"/>
    </xf>
    <xf numFmtId="164" fontId="21" fillId="0" borderId="0" xfId="0" applyNumberFormat="1" applyFont="1" applyAlignment="1">
      <alignment horizontal="right" wrapText="1"/>
    </xf>
    <xf numFmtId="2" fontId="21" fillId="0" borderId="0" xfId="0" applyNumberFormat="1" applyFont="1" applyAlignment="1">
      <alignment horizontal="center"/>
    </xf>
    <xf numFmtId="164" fontId="45" fillId="2" borderId="43" xfId="0" applyNumberFormat="1" applyFont="1" applyFill="1" applyBorder="1" applyAlignment="1">
      <alignment horizontal="center" vertical="center"/>
    </xf>
    <xf numFmtId="164" fontId="25" fillId="0" borderId="0" xfId="0" applyNumberFormat="1" applyFont="1" applyAlignment="1">
      <alignment horizontal="center" vertical="center"/>
    </xf>
    <xf numFmtId="164" fontId="20" fillId="0" borderId="0" xfId="0" applyNumberFormat="1" applyFont="1" applyAlignment="1">
      <alignment horizontal="center" vertical="center"/>
    </xf>
    <xf numFmtId="164" fontId="21" fillId="0" borderId="0" xfId="0" applyNumberFormat="1" applyFont="1" applyAlignment="1">
      <alignment horizontal="center" vertical="center" wrapText="1"/>
    </xf>
    <xf numFmtId="0" fontId="21" fillId="0" borderId="0" xfId="0" applyFont="1" applyAlignment="1">
      <alignment horizontal="center" vertical="center"/>
    </xf>
    <xf numFmtId="164" fontId="21" fillId="0" borderId="58" xfId="0" applyNumberFormat="1" applyFont="1" applyBorder="1" applyAlignment="1">
      <alignment horizontal="center" vertical="center"/>
    </xf>
    <xf numFmtId="164" fontId="33" fillId="0" borderId="0" xfId="4" applyNumberFormat="1" applyFont="1" applyFill="1" applyBorder="1" applyAlignment="1" applyProtection="1">
      <alignment vertical="center"/>
    </xf>
    <xf numFmtId="164" fontId="21" fillId="3" borderId="0" xfId="0" applyNumberFormat="1" applyFont="1" applyFill="1" applyAlignment="1" applyProtection="1">
      <alignment vertical="center"/>
      <protection locked="0"/>
    </xf>
    <xf numFmtId="164" fontId="21" fillId="0" borderId="0" xfId="0" applyNumberFormat="1" applyFont="1" applyAlignment="1">
      <alignment readingOrder="2"/>
    </xf>
    <xf numFmtId="164" fontId="22" fillId="0" borderId="0" xfId="0" applyNumberFormat="1" applyFont="1" applyAlignment="1">
      <alignment readingOrder="2"/>
    </xf>
    <xf numFmtId="164" fontId="33" fillId="0" borderId="0" xfId="0" applyNumberFormat="1" applyFont="1" applyAlignment="1">
      <alignment readingOrder="2"/>
    </xf>
    <xf numFmtId="164" fontId="21" fillId="0" borderId="0" xfId="0" quotePrefix="1" applyNumberFormat="1" applyFont="1" applyAlignment="1">
      <alignment horizontal="right"/>
    </xf>
    <xf numFmtId="164" fontId="21" fillId="0" borderId="0" xfId="0" quotePrefix="1" applyNumberFormat="1" applyFont="1" applyAlignment="1">
      <alignment horizontal="center" vertical="center"/>
    </xf>
    <xf numFmtId="164" fontId="21" fillId="0" borderId="0" xfId="0" applyNumberFormat="1" applyFont="1" applyAlignment="1">
      <alignment horizontal="right" wrapText="1" readingOrder="2"/>
    </xf>
    <xf numFmtId="0" fontId="21" fillId="2" borderId="3" xfId="0" applyFont="1" applyFill="1" applyBorder="1"/>
    <xf numFmtId="0" fontId="21" fillId="2" borderId="0" xfId="0" applyFont="1" applyFill="1"/>
    <xf numFmtId="0" fontId="21" fillId="2" borderId="44" xfId="0" applyFont="1" applyFill="1" applyBorder="1"/>
    <xf numFmtId="164" fontId="56" fillId="4" borderId="0" xfId="0" applyNumberFormat="1" applyFont="1" applyFill="1" applyAlignment="1">
      <alignment horizontal="right" readingOrder="2"/>
    </xf>
    <xf numFmtId="164" fontId="27" fillId="4" borderId="0" xfId="0" applyNumberFormat="1" applyFont="1" applyFill="1" applyAlignment="1">
      <alignment horizontal="center" vertical="center"/>
    </xf>
    <xf numFmtId="164" fontId="27" fillId="4" borderId="0" xfId="0" applyNumberFormat="1" applyFont="1" applyFill="1" applyAlignment="1">
      <alignment horizontal="center" vertical="center" readingOrder="2"/>
    </xf>
    <xf numFmtId="164" fontId="22" fillId="0" borderId="0" xfId="0" applyNumberFormat="1" applyFont="1" applyAlignment="1">
      <alignment horizontal="center" vertical="center" readingOrder="2"/>
    </xf>
    <xf numFmtId="164" fontId="44" fillId="2" borderId="3" xfId="0" applyNumberFormat="1" applyFont="1" applyFill="1" applyBorder="1" applyAlignment="1">
      <alignment horizontal="center" vertical="center"/>
    </xf>
    <xf numFmtId="164" fontId="45" fillId="2" borderId="0" xfId="0" applyNumberFormat="1" applyFont="1" applyFill="1" applyAlignment="1">
      <alignment horizontal="center" vertical="center"/>
    </xf>
    <xf numFmtId="164" fontId="44" fillId="2" borderId="0" xfId="0" applyNumberFormat="1" applyFont="1" applyFill="1" applyAlignment="1">
      <alignment horizontal="center" vertical="center"/>
    </xf>
    <xf numFmtId="164" fontId="44" fillId="2" borderId="43" xfId="0" applyNumberFormat="1" applyFont="1" applyFill="1" applyBorder="1" applyAlignment="1">
      <alignment horizontal="center" vertical="center"/>
    </xf>
    <xf numFmtId="1" fontId="20" fillId="0" borderId="0" xfId="0" applyNumberFormat="1" applyFont="1" applyAlignment="1">
      <alignment horizontal="center" vertical="center"/>
    </xf>
    <xf numFmtId="1" fontId="22" fillId="0" borderId="0" xfId="0" applyNumberFormat="1" applyFont="1" applyAlignment="1">
      <alignment horizontal="center" vertical="center"/>
    </xf>
    <xf numFmtId="164" fontId="20" fillId="0" borderId="0" xfId="0" applyNumberFormat="1" applyFont="1" applyAlignment="1">
      <alignment horizontal="center" vertical="center" readingOrder="2"/>
    </xf>
    <xf numFmtId="164" fontId="49" fillId="0" borderId="9" xfId="1" applyNumberFormat="1" applyFont="1" applyFill="1" applyBorder="1" applyAlignment="1">
      <alignment horizontal="center" vertical="center"/>
    </xf>
    <xf numFmtId="164" fontId="63" fillId="0" borderId="0" xfId="0" applyNumberFormat="1" applyFont="1" applyAlignment="1">
      <alignment horizontal="right"/>
    </xf>
    <xf numFmtId="164" fontId="21" fillId="0" borderId="53" xfId="0" applyNumberFormat="1" applyFont="1" applyBorder="1" applyAlignment="1">
      <alignment horizontal="center" vertical="center"/>
    </xf>
    <xf numFmtId="164" fontId="21" fillId="0" borderId="54" xfId="0" applyNumberFormat="1" applyFont="1" applyBorder="1" applyAlignment="1">
      <alignment horizontal="center"/>
    </xf>
    <xf numFmtId="164" fontId="21" fillId="0" borderId="56" xfId="0" applyNumberFormat="1" applyFont="1" applyBorder="1" applyAlignment="1">
      <alignment horizontal="center"/>
    </xf>
    <xf numFmtId="164" fontId="22" fillId="0" borderId="56" xfId="0" applyNumberFormat="1" applyFont="1" applyBorder="1" applyAlignment="1">
      <alignment horizontal="center"/>
    </xf>
    <xf numFmtId="164" fontId="21" fillId="0" borderId="55" xfId="0" applyNumberFormat="1" applyFont="1" applyBorder="1" applyAlignment="1">
      <alignment horizontal="left" readingOrder="2"/>
    </xf>
    <xf numFmtId="164" fontId="21" fillId="0" borderId="55" xfId="0" applyNumberFormat="1" applyFont="1" applyBorder="1" applyAlignment="1">
      <alignment readingOrder="2"/>
    </xf>
    <xf numFmtId="164" fontId="22" fillId="0" borderId="55" xfId="0" applyNumberFormat="1" applyFont="1" applyBorder="1" applyAlignment="1">
      <alignment readingOrder="2"/>
    </xf>
    <xf numFmtId="164" fontId="21" fillId="0" borderId="56" xfId="0" applyNumberFormat="1" applyFont="1" applyBorder="1" applyAlignment="1">
      <alignment readingOrder="2"/>
    </xf>
    <xf numFmtId="164" fontId="21" fillId="0" borderId="56" xfId="0" applyNumberFormat="1" applyFont="1" applyBorder="1" applyAlignment="1">
      <alignment horizontal="right" wrapText="1"/>
    </xf>
    <xf numFmtId="164" fontId="21" fillId="0" borderId="56" xfId="0" applyNumberFormat="1" applyFont="1" applyBorder="1" applyAlignment="1">
      <alignment horizontal="right" readingOrder="2"/>
    </xf>
    <xf numFmtId="164" fontId="22" fillId="4" borderId="0" xfId="0" applyNumberFormat="1" applyFont="1" applyFill="1" applyAlignment="1">
      <alignment horizontal="center"/>
    </xf>
    <xf numFmtId="164" fontId="21" fillId="4" borderId="0" xfId="0" applyNumberFormat="1" applyFont="1" applyFill="1" applyAlignment="1">
      <alignment horizontal="center" vertical="center"/>
    </xf>
    <xf numFmtId="168" fontId="55" fillId="0" borderId="55" xfId="0" applyNumberFormat="1" applyFont="1" applyBorder="1" applyAlignment="1">
      <alignment horizontal="right" readingOrder="2"/>
    </xf>
    <xf numFmtId="164" fontId="25" fillId="0" borderId="0" xfId="0" applyNumberFormat="1" applyFont="1" applyAlignment="1">
      <alignment readingOrder="2"/>
    </xf>
    <xf numFmtId="164" fontId="27" fillId="0" borderId="0" xfId="0" applyNumberFormat="1" applyFont="1" applyAlignment="1">
      <alignment readingOrder="2"/>
    </xf>
    <xf numFmtId="164" fontId="27" fillId="0" borderId="0" xfId="0" applyNumberFormat="1" applyFont="1" applyAlignment="1">
      <alignment horizontal="right" vertical="top" readingOrder="2"/>
    </xf>
    <xf numFmtId="164" fontId="21" fillId="2" borderId="0" xfId="0" applyNumberFormat="1" applyFont="1" applyFill="1" applyAlignment="1">
      <alignment horizontal="right"/>
    </xf>
    <xf numFmtId="164" fontId="22" fillId="2" borderId="0" xfId="0" applyNumberFormat="1" applyFont="1" applyFill="1" applyAlignment="1">
      <alignment horizontal="right"/>
    </xf>
    <xf numFmtId="164" fontId="21" fillId="2" borderId="43" xfId="0" applyNumberFormat="1" applyFont="1" applyFill="1" applyBorder="1" applyAlignment="1">
      <alignment horizontal="right"/>
    </xf>
    <xf numFmtId="164" fontId="22" fillId="2" borderId="43" xfId="0" applyNumberFormat="1" applyFont="1" applyFill="1" applyBorder="1" applyAlignment="1">
      <alignment horizontal="right"/>
    </xf>
    <xf numFmtId="164" fontId="21" fillId="2" borderId="44" xfId="0" applyNumberFormat="1" applyFont="1" applyFill="1" applyBorder="1" applyAlignment="1">
      <alignment horizontal="right"/>
    </xf>
    <xf numFmtId="0" fontId="20" fillId="2" borderId="0" xfId="0" applyFont="1" applyFill="1" applyAlignment="1">
      <alignment horizontal="center" readingOrder="2"/>
    </xf>
    <xf numFmtId="0" fontId="21" fillId="2" borderId="43" xfId="0" applyFont="1" applyFill="1" applyBorder="1"/>
    <xf numFmtId="0" fontId="20" fillId="2" borderId="43" xfId="0" applyFont="1" applyFill="1" applyBorder="1" applyAlignment="1">
      <alignment horizontal="center" readingOrder="2"/>
    </xf>
    <xf numFmtId="164" fontId="20" fillId="0" borderId="0" xfId="0" applyNumberFormat="1" applyFont="1" applyAlignment="1">
      <alignment horizontal="right" wrapText="1"/>
    </xf>
    <xf numFmtId="0" fontId="22" fillId="2" borderId="0" xfId="0" applyFont="1" applyFill="1"/>
    <xf numFmtId="0" fontId="22" fillId="2" borderId="43" xfId="0" applyFont="1" applyFill="1" applyBorder="1"/>
    <xf numFmtId="164" fontId="21" fillId="0" borderId="50" xfId="0" applyNumberFormat="1" applyFont="1" applyBorder="1" applyAlignment="1">
      <alignment horizontal="right"/>
    </xf>
    <xf numFmtId="164" fontId="21" fillId="0" borderId="50" xfId="0" applyNumberFormat="1" applyFont="1" applyBorder="1" applyAlignment="1">
      <alignment horizontal="right" vertical="center"/>
    </xf>
    <xf numFmtId="164" fontId="22" fillId="0" borderId="50" xfId="0" applyNumberFormat="1" applyFont="1" applyBorder="1" applyAlignment="1">
      <alignment horizontal="center" vertical="center"/>
    </xf>
    <xf numFmtId="164" fontId="21" fillId="0" borderId="50" xfId="0" applyNumberFormat="1" applyFont="1" applyBorder="1" applyAlignment="1">
      <alignment horizontal="center" vertical="center"/>
    </xf>
    <xf numFmtId="164" fontId="22" fillId="0" borderId="51" xfId="0" applyNumberFormat="1" applyFont="1" applyBorder="1" applyAlignment="1">
      <alignment horizontal="center" vertical="center"/>
    </xf>
    <xf numFmtId="164" fontId="22" fillId="0" borderId="63" xfId="0" applyNumberFormat="1" applyFont="1" applyBorder="1" applyAlignment="1">
      <alignment horizontal="center" vertical="center"/>
    </xf>
    <xf numFmtId="164" fontId="22" fillId="2" borderId="68" xfId="1" applyNumberFormat="1" applyFont="1" applyFill="1" applyBorder="1" applyAlignment="1">
      <alignment horizontal="center" vertical="center"/>
    </xf>
    <xf numFmtId="164" fontId="21" fillId="0" borderId="65" xfId="0" applyNumberFormat="1" applyFont="1" applyBorder="1" applyAlignment="1">
      <alignment horizontal="right"/>
    </xf>
    <xf numFmtId="164" fontId="21" fillId="0" borderId="65" xfId="0" applyNumberFormat="1" applyFont="1" applyBorder="1" applyAlignment="1">
      <alignment horizontal="right" vertical="center"/>
    </xf>
    <xf numFmtId="164" fontId="22" fillId="0" borderId="65" xfId="0" applyNumberFormat="1" applyFont="1" applyBorder="1" applyAlignment="1">
      <alignment horizontal="center" vertical="center"/>
    </xf>
    <xf numFmtId="164" fontId="21" fillId="0" borderId="65" xfId="0" applyNumberFormat="1" applyFont="1" applyBorder="1" applyAlignment="1">
      <alignment horizontal="center" vertical="center"/>
    </xf>
    <xf numFmtId="164" fontId="22" fillId="0" borderId="66" xfId="0" applyNumberFormat="1" applyFont="1" applyBorder="1" applyAlignment="1">
      <alignment horizontal="center" vertical="center"/>
    </xf>
    <xf numFmtId="164" fontId="21" fillId="0" borderId="52" xfId="0" applyNumberFormat="1" applyFont="1" applyBorder="1" applyAlignment="1">
      <alignment horizontal="right"/>
    </xf>
    <xf numFmtId="164" fontId="22" fillId="0" borderId="53" xfId="0" applyNumberFormat="1" applyFont="1" applyBorder="1" applyAlignment="1">
      <alignment horizontal="right"/>
    </xf>
    <xf numFmtId="164" fontId="20" fillId="0" borderId="53" xfId="0" applyNumberFormat="1" applyFont="1" applyBorder="1" applyAlignment="1">
      <alignment horizontal="right"/>
    </xf>
    <xf numFmtId="164" fontId="22" fillId="0" borderId="56" xfId="0" applyNumberFormat="1" applyFont="1" applyBorder="1" applyAlignment="1">
      <alignment horizontal="center" vertical="center"/>
    </xf>
    <xf numFmtId="164" fontId="20" fillId="0" borderId="69" xfId="0" applyNumberFormat="1" applyFont="1" applyBorder="1" applyAlignment="1">
      <alignment horizontal="right"/>
    </xf>
    <xf numFmtId="164" fontId="20" fillId="0" borderId="55" xfId="0" applyNumberFormat="1" applyFont="1" applyBorder="1" applyAlignment="1">
      <alignment horizontal="right"/>
    </xf>
    <xf numFmtId="164" fontId="21" fillId="0" borderId="70" xfId="0" applyNumberFormat="1" applyFont="1" applyBorder="1" applyAlignment="1">
      <alignment horizontal="right"/>
    </xf>
    <xf numFmtId="164" fontId="22" fillId="0" borderId="57" xfId="0" applyNumberFormat="1" applyFont="1" applyBorder="1" applyAlignment="1">
      <alignment horizontal="right"/>
    </xf>
    <xf numFmtId="164" fontId="21" fillId="0" borderId="58" xfId="0" applyNumberFormat="1" applyFont="1" applyBorder="1" applyAlignment="1">
      <alignment horizontal="right" vertical="center"/>
    </xf>
    <xf numFmtId="164" fontId="22" fillId="0" borderId="58" xfId="0" applyNumberFormat="1" applyFont="1" applyBorder="1" applyAlignment="1">
      <alignment horizontal="right" vertical="center"/>
    </xf>
    <xf numFmtId="164" fontId="22" fillId="0" borderId="70" xfId="0" applyNumberFormat="1" applyFont="1" applyBorder="1" applyAlignment="1">
      <alignment horizontal="right"/>
    </xf>
    <xf numFmtId="0" fontId="20" fillId="2" borderId="44" xfId="0" applyFont="1" applyFill="1" applyBorder="1" applyAlignment="1">
      <alignment horizontal="center" readingOrder="2"/>
    </xf>
    <xf numFmtId="164" fontId="21" fillId="0" borderId="51" xfId="0" applyNumberFormat="1" applyFont="1" applyBorder="1" applyAlignment="1">
      <alignment horizontal="center" vertical="center"/>
    </xf>
    <xf numFmtId="164" fontId="22" fillId="0" borderId="71" xfId="0" applyNumberFormat="1" applyFont="1" applyBorder="1" applyAlignment="1">
      <alignment horizontal="center" vertical="center"/>
    </xf>
    <xf numFmtId="164" fontId="22" fillId="0" borderId="63" xfId="0" applyNumberFormat="1" applyFont="1" applyBorder="1" applyAlignment="1">
      <alignment horizontal="right"/>
    </xf>
    <xf numFmtId="164" fontId="22" fillId="0" borderId="65" xfId="0" applyNumberFormat="1" applyFont="1" applyBorder="1" applyAlignment="1">
      <alignment horizontal="right" vertical="center"/>
    </xf>
    <xf numFmtId="164" fontId="22" fillId="2" borderId="72" xfId="1" applyNumberFormat="1" applyFont="1" applyFill="1" applyBorder="1" applyAlignment="1">
      <alignment horizontal="center" vertical="center"/>
    </xf>
    <xf numFmtId="164" fontId="22" fillId="2" borderId="73" xfId="1" applyNumberFormat="1" applyFont="1" applyFill="1" applyBorder="1" applyAlignment="1">
      <alignment horizontal="center" vertical="center"/>
    </xf>
    <xf numFmtId="164" fontId="22" fillId="0" borderId="55" xfId="0" applyNumberFormat="1" applyFont="1" applyBorder="1" applyAlignment="1">
      <alignment horizontal="right" vertical="center"/>
    </xf>
    <xf numFmtId="164" fontId="21" fillId="0" borderId="55" xfId="0" applyNumberFormat="1" applyFont="1" applyBorder="1" applyAlignment="1">
      <alignment horizontal="right" vertical="center"/>
    </xf>
    <xf numFmtId="164" fontId="20" fillId="0" borderId="69" xfId="0" applyNumberFormat="1" applyFont="1" applyBorder="1" applyAlignment="1">
      <alignment horizontal="right" vertical="center"/>
    </xf>
    <xf numFmtId="164" fontId="20" fillId="0" borderId="55" xfId="0" applyNumberFormat="1" applyFont="1" applyBorder="1" applyAlignment="1">
      <alignment horizontal="right" vertical="center"/>
    </xf>
    <xf numFmtId="164" fontId="22" fillId="0" borderId="70" xfId="0" applyNumberFormat="1" applyFont="1" applyBorder="1" applyAlignment="1">
      <alignment horizontal="right" vertical="center"/>
    </xf>
    <xf numFmtId="164" fontId="22" fillId="0" borderId="57" xfId="0" applyNumberFormat="1" applyFont="1" applyBorder="1" applyAlignment="1">
      <alignment horizontal="right" vertical="center"/>
    </xf>
    <xf numFmtId="164" fontId="22" fillId="0" borderId="58" xfId="0" applyNumberFormat="1" applyFont="1" applyBorder="1" applyAlignment="1">
      <alignment horizontal="center" vertical="center"/>
    </xf>
    <xf numFmtId="10" fontId="21" fillId="0" borderId="0" xfId="2" applyNumberFormat="1" applyFont="1" applyFill="1" applyBorder="1" applyProtection="1"/>
    <xf numFmtId="164" fontId="33" fillId="0" borderId="0" xfId="6" applyNumberFormat="1" applyFont="1" applyFill="1" applyBorder="1" applyAlignment="1" applyProtection="1"/>
    <xf numFmtId="171" fontId="21" fillId="0" borderId="0" xfId="1" applyNumberFormat="1" applyFont="1" applyFill="1" applyBorder="1" applyProtection="1"/>
    <xf numFmtId="0" fontId="20" fillId="0" borderId="0" xfId="0" applyFont="1" applyAlignment="1">
      <alignment horizontal="right" vertical="top" readingOrder="2"/>
    </xf>
    <xf numFmtId="0" fontId="20" fillId="0" borderId="0" xfId="0" applyFont="1" applyAlignment="1">
      <alignment horizontal="right" vertical="top" wrapText="1" readingOrder="2"/>
    </xf>
    <xf numFmtId="0" fontId="20" fillId="0" borderId="0" xfId="5" applyFont="1" applyAlignment="1">
      <alignment horizontal="right" vertical="top" wrapText="1" readingOrder="2"/>
    </xf>
    <xf numFmtId="0" fontId="21" fillId="0" borderId="0" xfId="5" applyFont="1"/>
    <xf numFmtId="0" fontId="21" fillId="0" borderId="0" xfId="0" applyFont="1" applyAlignment="1">
      <alignment horizontal="left"/>
    </xf>
    <xf numFmtId="0" fontId="20" fillId="0" borderId="0" xfId="0" applyFont="1" applyAlignment="1">
      <alignment horizontal="center" vertical="top" wrapText="1" readingOrder="2"/>
    </xf>
    <xf numFmtId="0" fontId="22" fillId="0" borderId="0" xfId="3" applyFont="1" applyFill="1" applyBorder="1" applyProtection="1">
      <protection locked="0"/>
    </xf>
    <xf numFmtId="0" fontId="21" fillId="0" borderId="0" xfId="5" applyFont="1" applyAlignment="1">
      <alignment horizontal="center"/>
    </xf>
    <xf numFmtId="0" fontId="22" fillId="0" borderId="0" xfId="0" applyFont="1" applyAlignment="1" applyProtection="1">
      <alignment horizontal="right" vertical="top"/>
      <protection locked="0"/>
    </xf>
    <xf numFmtId="164" fontId="21" fillId="3" borderId="18" xfId="0" applyNumberFormat="1" applyFont="1" applyFill="1" applyBorder="1" applyAlignment="1" applyProtection="1">
      <alignment horizontal="center"/>
      <protection locked="0"/>
    </xf>
    <xf numFmtId="0" fontId="25" fillId="0" borderId="0" xfId="0" applyFont="1"/>
    <xf numFmtId="0" fontId="27" fillId="0" borderId="0" xfId="0" applyFont="1"/>
    <xf numFmtId="0" fontId="20" fillId="0" borderId="0" xfId="5" applyFont="1" applyAlignment="1">
      <alignment horizontal="right" vertical="top" readingOrder="2"/>
    </xf>
    <xf numFmtId="0" fontId="20" fillId="0" borderId="0" xfId="5" applyFont="1"/>
    <xf numFmtId="0" fontId="20" fillId="0" borderId="0" xfId="5" applyFont="1" applyAlignment="1">
      <alignment horizontal="center" vertical="top" wrapText="1" readingOrder="2"/>
    </xf>
    <xf numFmtId="0" fontId="21" fillId="0" borderId="0" xfId="5" applyFont="1" applyAlignment="1">
      <alignment horizontal="right" vertical="top" wrapText="1" readingOrder="2"/>
    </xf>
    <xf numFmtId="164" fontId="21" fillId="0" borderId="0" xfId="5" applyNumberFormat="1" applyFont="1" applyAlignment="1" applyProtection="1">
      <alignment horizontal="center"/>
      <protection locked="0"/>
    </xf>
    <xf numFmtId="2" fontId="21" fillId="0" borderId="0" xfId="5" applyNumberFormat="1" applyFont="1"/>
    <xf numFmtId="0" fontId="22" fillId="0" borderId="0" xfId="5" applyFont="1" applyAlignment="1">
      <alignment horizontal="right" vertical="top" wrapText="1" readingOrder="2"/>
    </xf>
    <xf numFmtId="3" fontId="22" fillId="0" borderId="0" xfId="5" applyNumberFormat="1" applyFont="1" applyAlignment="1">
      <alignment horizontal="center" vertical="top" wrapText="1" readingOrder="2"/>
    </xf>
    <xf numFmtId="164" fontId="21" fillId="0" borderId="0" xfId="5" applyNumberFormat="1" applyFont="1" applyAlignment="1">
      <alignment horizontal="right" vertical="top" wrapText="1"/>
    </xf>
    <xf numFmtId="10" fontId="49" fillId="2" borderId="9" xfId="2" applyNumberFormat="1" applyFont="1" applyFill="1" applyBorder="1" applyAlignment="1">
      <alignment horizontal="center" vertical="center"/>
    </xf>
    <xf numFmtId="164" fontId="29" fillId="4" borderId="0" xfId="0" applyNumberFormat="1" applyFont="1" applyFill="1" applyAlignment="1">
      <alignment horizontal="right" vertical="center" readingOrder="2"/>
    </xf>
    <xf numFmtId="0" fontId="29" fillId="0" borderId="0" xfId="5" applyFont="1" applyAlignment="1">
      <alignment horizontal="right" vertical="top" readingOrder="2"/>
    </xf>
    <xf numFmtId="3" fontId="60" fillId="3" borderId="0" xfId="5" applyNumberFormat="1" applyFont="1" applyFill="1" applyAlignment="1">
      <alignment horizontal="center" vertical="top" wrapText="1" readingOrder="2"/>
    </xf>
    <xf numFmtId="164" fontId="21" fillId="3" borderId="0" xfId="5" applyNumberFormat="1" applyFont="1" applyFill="1" applyAlignment="1" applyProtection="1">
      <alignment horizontal="center"/>
      <protection locked="0"/>
    </xf>
    <xf numFmtId="170" fontId="21" fillId="3" borderId="0" xfId="1" applyNumberFormat="1" applyFont="1" applyFill="1" applyBorder="1" applyAlignment="1" applyProtection="1">
      <alignment horizontal="center"/>
      <protection locked="0"/>
    </xf>
    <xf numFmtId="165" fontId="21" fillId="3" borderId="41" xfId="1" applyNumberFormat="1" applyFont="1" applyFill="1" applyBorder="1" applyAlignment="1" applyProtection="1">
      <alignment horizontal="right" vertical="top" readingOrder="2"/>
      <protection locked="0"/>
    </xf>
    <xf numFmtId="3" fontId="22" fillId="0" borderId="0" xfId="0" applyNumberFormat="1" applyFont="1" applyAlignment="1">
      <alignment horizontal="center" vertical="top" wrapText="1" readingOrder="2"/>
    </xf>
    <xf numFmtId="3" fontId="21" fillId="0" borderId="0" xfId="0" applyNumberFormat="1" applyFont="1" applyAlignment="1">
      <alignment horizontal="center" vertical="center" wrapText="1" readingOrder="2"/>
    </xf>
    <xf numFmtId="0" fontId="20" fillId="0" borderId="61" xfId="0" applyFont="1" applyBorder="1" applyAlignment="1">
      <alignment horizontal="center" wrapText="1" readingOrder="2"/>
    </xf>
    <xf numFmtId="0" fontId="20" fillId="0" borderId="50" xfId="0" applyFont="1" applyBorder="1" applyAlignment="1">
      <alignment horizontal="center" wrapText="1" readingOrder="2"/>
    </xf>
    <xf numFmtId="0" fontId="20" fillId="0" borderId="50" xfId="0" applyFont="1" applyBorder="1" applyAlignment="1">
      <alignment wrapText="1" readingOrder="2"/>
    </xf>
    <xf numFmtId="0" fontId="20" fillId="0" borderId="51" xfId="0" applyFont="1" applyBorder="1" applyAlignment="1">
      <alignment horizontal="center" wrapText="1" readingOrder="2"/>
    </xf>
    <xf numFmtId="0" fontId="20" fillId="0" borderId="62" xfId="0" applyFont="1" applyBorder="1" applyAlignment="1">
      <alignment horizontal="center" vertical="center" wrapText="1" readingOrder="2"/>
    </xf>
    <xf numFmtId="0" fontId="21" fillId="0" borderId="63" xfId="0" applyFont="1" applyBorder="1" applyAlignment="1">
      <alignment vertical="center"/>
    </xf>
    <xf numFmtId="164" fontId="49" fillId="2" borderId="72" xfId="1" applyNumberFormat="1" applyFont="1" applyFill="1" applyBorder="1" applyAlignment="1">
      <alignment horizontal="center" vertical="center"/>
    </xf>
    <xf numFmtId="0" fontId="21" fillId="0" borderId="66" xfId="0" applyFont="1" applyBorder="1" applyAlignment="1">
      <alignment vertical="center"/>
    </xf>
    <xf numFmtId="0" fontId="21" fillId="0" borderId="0" xfId="0" applyFont="1" applyAlignment="1">
      <alignment wrapText="1"/>
    </xf>
    <xf numFmtId="0" fontId="22" fillId="0" borderId="0" xfId="0" applyFont="1" applyAlignment="1">
      <alignment horizontal="center" vertical="top" wrapText="1" readingOrder="2"/>
    </xf>
    <xf numFmtId="164" fontId="49" fillId="0" borderId="72" xfId="1" applyNumberFormat="1" applyFont="1" applyFill="1" applyBorder="1" applyAlignment="1">
      <alignment horizontal="center" vertical="center"/>
    </xf>
    <xf numFmtId="0" fontId="22" fillId="0" borderId="62" xfId="0" applyFont="1" applyBorder="1" applyAlignment="1">
      <alignment horizontal="center" vertical="center" wrapText="1" readingOrder="2"/>
    </xf>
    <xf numFmtId="0" fontId="22" fillId="0" borderId="64" xfId="0" applyFont="1" applyBorder="1" applyAlignment="1">
      <alignment horizontal="center" vertical="center" wrapText="1" readingOrder="2"/>
    </xf>
    <xf numFmtId="164" fontId="49" fillId="0" borderId="0" xfId="1" applyNumberFormat="1" applyFont="1" applyFill="1" applyBorder="1" applyAlignment="1">
      <alignment horizontal="center" vertical="center"/>
    </xf>
    <xf numFmtId="0" fontId="21" fillId="0" borderId="51" xfId="0" applyFont="1" applyBorder="1"/>
    <xf numFmtId="0" fontId="22" fillId="0" borderId="62" xfId="0" applyFont="1" applyBorder="1" applyAlignment="1">
      <alignment horizontal="center" vertical="top" wrapText="1" readingOrder="2"/>
    </xf>
    <xf numFmtId="0" fontId="21" fillId="0" borderId="63" xfId="0" applyFont="1" applyBorder="1"/>
    <xf numFmtId="0" fontId="22" fillId="0" borderId="64" xfId="0" applyFont="1" applyBorder="1" applyAlignment="1">
      <alignment horizontal="center" vertical="top" wrapText="1" readingOrder="2"/>
    </xf>
    <xf numFmtId="164" fontId="21" fillId="3" borderId="65" xfId="0" applyNumberFormat="1" applyFont="1" applyFill="1" applyBorder="1" applyProtection="1">
      <protection locked="0"/>
    </xf>
    <xf numFmtId="164" fontId="49" fillId="0" borderId="65" xfId="1" applyNumberFormat="1" applyFont="1" applyFill="1" applyBorder="1" applyAlignment="1">
      <alignment horizontal="center" vertical="center"/>
    </xf>
    <xf numFmtId="0" fontId="21" fillId="0" borderId="66" xfId="0" applyFont="1" applyBorder="1"/>
    <xf numFmtId="167" fontId="21" fillId="3" borderId="0" xfId="2" applyNumberFormat="1" applyFont="1" applyFill="1" applyBorder="1" applyAlignment="1" applyProtection="1">
      <alignment horizontal="right"/>
      <protection locked="0"/>
    </xf>
    <xf numFmtId="0" fontId="21" fillId="0" borderId="53" xfId="0" applyFont="1" applyBorder="1"/>
    <xf numFmtId="0" fontId="21" fillId="0" borderId="54" xfId="0" applyFont="1" applyBorder="1"/>
    <xf numFmtId="0" fontId="20" fillId="0" borderId="55" xfId="0" applyFont="1" applyBorder="1" applyAlignment="1">
      <alignment horizontal="right" vertical="top" readingOrder="2"/>
    </xf>
    <xf numFmtId="0" fontId="20" fillId="0" borderId="56" xfId="0" applyFont="1" applyBorder="1"/>
    <xf numFmtId="0" fontId="20" fillId="0" borderId="55" xfId="0" applyFont="1" applyBorder="1" applyAlignment="1">
      <alignment horizontal="right" vertical="top" wrapText="1" readingOrder="2"/>
    </xf>
    <xf numFmtId="0" fontId="21" fillId="0" borderId="56" xfId="0" applyFont="1" applyBorder="1"/>
    <xf numFmtId="0" fontId="21" fillId="0" borderId="55" xfId="0" applyFont="1" applyBorder="1"/>
    <xf numFmtId="0" fontId="21" fillId="0" borderId="0" xfId="0" applyFont="1" applyAlignment="1">
      <alignment horizontal="right" vertical="top" wrapText="1" readingOrder="2"/>
    </xf>
    <xf numFmtId="2" fontId="21" fillId="0" borderId="0" xfId="0" applyNumberFormat="1" applyFont="1"/>
    <xf numFmtId="0" fontId="22" fillId="0" borderId="0" xfId="0" applyFont="1" applyAlignment="1">
      <alignment horizontal="right" vertical="top" wrapText="1" readingOrder="2"/>
    </xf>
    <xf numFmtId="3" fontId="58" fillId="0" borderId="0" xfId="0" applyNumberFormat="1" applyFont="1" applyAlignment="1">
      <alignment horizontal="center" vertical="top" wrapText="1" readingOrder="2"/>
    </xf>
    <xf numFmtId="10" fontId="21" fillId="0" borderId="0" xfId="2" applyNumberFormat="1" applyFont="1" applyFill="1" applyBorder="1"/>
    <xf numFmtId="0" fontId="21" fillId="0" borderId="55" xfId="5" applyFont="1" applyBorder="1"/>
    <xf numFmtId="0" fontId="20" fillId="0" borderId="0" xfId="5" applyFont="1" applyAlignment="1">
      <alignment horizontal="center" readingOrder="2"/>
    </xf>
    <xf numFmtId="0" fontId="21" fillId="0" borderId="56" xfId="5" applyFont="1" applyBorder="1"/>
    <xf numFmtId="164" fontId="33" fillId="0" borderId="55" xfId="6" applyNumberFormat="1" applyFont="1" applyFill="1" applyBorder="1" applyAlignment="1" applyProtection="1"/>
    <xf numFmtId="0" fontId="20" fillId="0" borderId="55" xfId="5" applyFont="1" applyBorder="1" applyAlignment="1">
      <alignment horizontal="right" vertical="top" readingOrder="2"/>
    </xf>
    <xf numFmtId="0" fontId="20" fillId="0" borderId="55" xfId="5" applyFont="1" applyBorder="1" applyAlignment="1">
      <alignment horizontal="right" vertical="top" wrapText="1" readingOrder="2"/>
    </xf>
    <xf numFmtId="10" fontId="59" fillId="0" borderId="0" xfId="0" applyNumberFormat="1" applyFont="1" applyAlignment="1">
      <alignment horizontal="center" vertical="top" wrapText="1" readingOrder="2"/>
    </xf>
    <xf numFmtId="0" fontId="29" fillId="0" borderId="55" xfId="0" applyFont="1" applyBorder="1"/>
    <xf numFmtId="0" fontId="29" fillId="0" borderId="0" xfId="0" applyFont="1"/>
    <xf numFmtId="0" fontId="25" fillId="0" borderId="56" xfId="0" applyFont="1" applyBorder="1"/>
    <xf numFmtId="0" fontId="29" fillId="0" borderId="0" xfId="7" applyFont="1"/>
    <xf numFmtId="0" fontId="27" fillId="0" borderId="0" xfId="7" applyFont="1"/>
    <xf numFmtId="9" fontId="21" fillId="0" borderId="55" xfId="0" applyNumberFormat="1" applyFont="1" applyBorder="1" applyAlignment="1">
      <alignment horizontal="center" vertical="center"/>
    </xf>
    <xf numFmtId="0" fontId="22" fillId="0" borderId="56" xfId="0" applyFont="1" applyBorder="1" applyAlignment="1">
      <alignment vertical="center"/>
    </xf>
    <xf numFmtId="0" fontId="22" fillId="0" borderId="56" xfId="0" applyFont="1" applyBorder="1" applyAlignment="1">
      <alignment horizontal="right" vertical="center"/>
    </xf>
    <xf numFmtId="0" fontId="21" fillId="0" borderId="55" xfId="0" applyFont="1" applyBorder="1" applyAlignment="1">
      <alignment vertical="center"/>
    </xf>
    <xf numFmtId="0" fontId="22" fillId="0" borderId="56" xfId="0" applyFont="1" applyBorder="1"/>
    <xf numFmtId="0" fontId="22" fillId="0" borderId="0" xfId="0" applyFont="1" applyAlignment="1">
      <alignment wrapText="1"/>
    </xf>
    <xf numFmtId="0" fontId="22" fillId="0" borderId="55" xfId="0" applyFont="1" applyBorder="1"/>
    <xf numFmtId="0" fontId="21" fillId="0" borderId="55" xfId="0" applyFont="1" applyBorder="1" applyAlignment="1">
      <alignment horizontal="left"/>
    </xf>
    <xf numFmtId="0" fontId="21" fillId="0" borderId="0" xfId="0" applyFont="1" applyAlignment="1" applyProtection="1">
      <alignment vertical="top" wrapText="1"/>
      <protection locked="0"/>
    </xf>
    <xf numFmtId="0" fontId="21" fillId="0" borderId="0" xfId="0" applyFont="1" applyAlignment="1">
      <alignment horizontal="right" vertical="top" readingOrder="2"/>
    </xf>
    <xf numFmtId="0" fontId="33" fillId="0" borderId="55" xfId="0" applyFont="1" applyBorder="1"/>
    <xf numFmtId="0" fontId="20" fillId="0" borderId="0" xfId="0" applyFont="1" applyAlignment="1">
      <alignment horizontal="right"/>
    </xf>
    <xf numFmtId="0" fontId="33" fillId="0" borderId="56" xfId="0" applyFont="1" applyBorder="1"/>
    <xf numFmtId="0" fontId="21" fillId="0" borderId="57" xfId="0" applyFont="1" applyBorder="1"/>
    <xf numFmtId="0" fontId="21" fillId="0" borderId="58" xfId="0" applyFont="1" applyBorder="1"/>
    <xf numFmtId="0" fontId="21" fillId="0" borderId="59" xfId="0" applyFont="1" applyBorder="1"/>
    <xf numFmtId="164" fontId="21" fillId="3" borderId="0" xfId="1" applyNumberFormat="1" applyFont="1" applyFill="1" applyBorder="1" applyAlignment="1" applyProtection="1">
      <alignment horizontal="center" vertical="center"/>
      <protection locked="0"/>
    </xf>
    <xf numFmtId="166" fontId="21" fillId="3" borderId="38" xfId="0" applyNumberFormat="1" applyFont="1" applyFill="1" applyBorder="1" applyAlignment="1" applyProtection="1">
      <alignment horizontal="center" vertical="top" readingOrder="2"/>
      <protection locked="0"/>
    </xf>
    <xf numFmtId="0" fontId="22" fillId="0" borderId="28" xfId="0" applyFont="1" applyBorder="1" applyAlignment="1">
      <alignment horizontal="center" vertical="center"/>
    </xf>
    <xf numFmtId="0" fontId="18" fillId="3" borderId="60" xfId="0" applyFont="1" applyFill="1" applyBorder="1" applyAlignment="1" applyProtection="1">
      <alignment vertical="center"/>
      <protection locked="0"/>
    </xf>
    <xf numFmtId="0" fontId="18" fillId="3" borderId="28" xfId="0" applyFont="1" applyFill="1" applyBorder="1" applyAlignment="1" applyProtection="1">
      <alignment vertical="center"/>
      <protection locked="0"/>
    </xf>
    <xf numFmtId="0" fontId="38" fillId="0" borderId="4" xfId="0" applyFont="1" applyBorder="1" applyAlignment="1">
      <alignment horizontal="right"/>
    </xf>
    <xf numFmtId="0" fontId="40" fillId="0" borderId="0" xfId="0" applyFont="1"/>
    <xf numFmtId="0" fontId="21" fillId="0" borderId="23" xfId="0" applyFont="1" applyBorder="1" applyAlignment="1">
      <alignment horizontal="right"/>
    </xf>
    <xf numFmtId="0" fontId="38" fillId="0" borderId="4" xfId="0" applyFont="1" applyBorder="1"/>
    <xf numFmtId="0" fontId="23" fillId="0" borderId="24" xfId="0" applyFont="1" applyBorder="1" applyAlignment="1">
      <alignment horizontal="right"/>
    </xf>
    <xf numFmtId="0" fontId="40" fillId="0" borderId="24" xfId="0" applyFont="1" applyBorder="1" applyAlignment="1">
      <alignment horizontal="right"/>
    </xf>
    <xf numFmtId="0" fontId="21" fillId="0" borderId="25" xfId="0" applyFont="1" applyBorder="1" applyAlignment="1">
      <alignment horizontal="right"/>
    </xf>
    <xf numFmtId="0" fontId="22" fillId="0" borderId="26" xfId="0" applyFont="1" applyBorder="1" applyAlignment="1">
      <alignment horizontal="right"/>
    </xf>
    <xf numFmtId="0" fontId="23" fillId="0" borderId="27" xfId="0" applyFont="1" applyBorder="1" applyAlignment="1">
      <alignment horizontal="right"/>
    </xf>
    <xf numFmtId="0" fontId="24" fillId="2" borderId="31" xfId="0" applyFont="1" applyFill="1" applyBorder="1"/>
    <xf numFmtId="164" fontId="21" fillId="0" borderId="52" xfId="0" applyNumberFormat="1" applyFont="1" applyBorder="1" applyAlignment="1">
      <alignment horizontal="right" readingOrder="2"/>
    </xf>
    <xf numFmtId="164" fontId="25" fillId="4" borderId="0" xfId="0" applyNumberFormat="1" applyFont="1" applyFill="1" applyAlignment="1">
      <alignment horizontal="center"/>
    </xf>
    <xf numFmtId="164" fontId="29" fillId="0" borderId="55" xfId="0" applyNumberFormat="1" applyFont="1" applyBorder="1" applyAlignment="1">
      <alignment horizontal="right" readingOrder="2"/>
    </xf>
    <xf numFmtId="14" fontId="21" fillId="0" borderId="0" xfId="0" applyNumberFormat="1" applyFont="1" applyAlignment="1">
      <alignment horizontal="center"/>
    </xf>
    <xf numFmtId="164" fontId="25" fillId="4" borderId="0" xfId="0" applyNumberFormat="1" applyFont="1" applyFill="1" applyAlignment="1">
      <alignment horizontal="right" readingOrder="2"/>
    </xf>
    <xf numFmtId="164" fontId="25" fillId="0" borderId="0" xfId="0" applyNumberFormat="1" applyFont="1" applyAlignment="1">
      <alignment horizontal="right" readingOrder="2"/>
    </xf>
    <xf numFmtId="164" fontId="21" fillId="0" borderId="0" xfId="0" applyNumberFormat="1" applyFont="1" applyAlignment="1">
      <alignment horizontal="right" vertical="top" readingOrder="2"/>
    </xf>
    <xf numFmtId="164" fontId="29" fillId="0" borderId="55" xfId="0" applyNumberFormat="1" applyFont="1" applyBorder="1" applyAlignment="1">
      <alignment horizontal="right" vertical="top" readingOrder="2"/>
    </xf>
    <xf numFmtId="164" fontId="20" fillId="0" borderId="0" xfId="0" applyNumberFormat="1" applyFont="1" applyAlignment="1">
      <alignment horizontal="right" vertical="top" readingOrder="2"/>
    </xf>
    <xf numFmtId="164" fontId="33" fillId="0" borderId="0" xfId="0" applyNumberFormat="1" applyFont="1" applyAlignment="1">
      <alignment horizontal="right" vertical="top" readingOrder="2"/>
    </xf>
    <xf numFmtId="164" fontId="21" fillId="0" borderId="0" xfId="0" applyNumberFormat="1" applyFont="1" applyAlignment="1">
      <alignment horizontal="center" vertical="top" readingOrder="2"/>
    </xf>
    <xf numFmtId="164" fontId="21" fillId="0" borderId="56" xfId="0" applyNumberFormat="1" applyFont="1" applyBorder="1" applyAlignment="1">
      <alignment horizontal="right" vertical="top" readingOrder="2"/>
    </xf>
    <xf numFmtId="164" fontId="22" fillId="0" borderId="0" xfId="0" applyNumberFormat="1" applyFont="1" applyAlignment="1">
      <alignment horizontal="right" vertical="top" readingOrder="2"/>
    </xf>
    <xf numFmtId="164" fontId="22" fillId="0" borderId="0" xfId="0" applyNumberFormat="1" applyFont="1" applyAlignment="1">
      <alignment vertical="top" readingOrder="2"/>
    </xf>
    <xf numFmtId="164" fontId="21" fillId="0" borderId="0" xfId="0" applyNumberFormat="1" applyFont="1" applyAlignment="1">
      <alignment vertical="top" readingOrder="2"/>
    </xf>
    <xf numFmtId="164" fontId="21" fillId="0" borderId="0" xfId="0" applyNumberFormat="1" applyFont="1" applyAlignment="1">
      <alignment horizontal="right" vertical="top" wrapText="1" readingOrder="2"/>
    </xf>
    <xf numFmtId="164" fontId="33" fillId="3" borderId="35" xfId="0" applyNumberFormat="1" applyFont="1" applyFill="1" applyBorder="1" applyAlignment="1">
      <alignment horizontal="right" vertical="top" readingOrder="2"/>
    </xf>
    <xf numFmtId="164" fontId="33" fillId="3" borderId="0" xfId="0" applyNumberFormat="1" applyFont="1" applyFill="1" applyAlignment="1">
      <alignment horizontal="right" vertical="top" readingOrder="2"/>
    </xf>
    <xf numFmtId="164" fontId="21" fillId="3" borderId="0" xfId="0" applyNumberFormat="1" applyFont="1" applyFill="1" applyAlignment="1">
      <alignment horizontal="right" vertical="top" readingOrder="2"/>
    </xf>
    <xf numFmtId="164" fontId="20" fillId="3" borderId="0" xfId="0" applyNumberFormat="1" applyFont="1" applyFill="1" applyAlignment="1">
      <alignment horizontal="center" vertical="center" wrapText="1" readingOrder="2"/>
    </xf>
    <xf numFmtId="164" fontId="21" fillId="3" borderId="36" xfId="0" applyNumberFormat="1" applyFont="1" applyFill="1" applyBorder="1" applyAlignment="1">
      <alignment horizontal="right" vertical="top" readingOrder="2"/>
    </xf>
    <xf numFmtId="164" fontId="22" fillId="3" borderId="35" xfId="0" applyNumberFormat="1" applyFont="1" applyFill="1" applyBorder="1" applyAlignment="1">
      <alignment horizontal="right" vertical="top" readingOrder="2"/>
    </xf>
    <xf numFmtId="164" fontId="22" fillId="3" borderId="37" xfId="0" applyNumberFormat="1" applyFont="1" applyFill="1" applyBorder="1" applyAlignment="1">
      <alignment horizontal="right" vertical="top" readingOrder="2"/>
    </xf>
    <xf numFmtId="164" fontId="33" fillId="3" borderId="38" xfId="0" applyNumberFormat="1" applyFont="1" applyFill="1" applyBorder="1" applyAlignment="1">
      <alignment horizontal="right" vertical="top" readingOrder="2"/>
    </xf>
    <xf numFmtId="164" fontId="21" fillId="3" borderId="38" xfId="0" applyNumberFormat="1" applyFont="1" applyFill="1" applyBorder="1" applyAlignment="1">
      <alignment horizontal="right" vertical="top" readingOrder="2"/>
    </xf>
    <xf numFmtId="164" fontId="21" fillId="3" borderId="39" xfId="0" applyNumberFormat="1" applyFont="1" applyFill="1" applyBorder="1" applyAlignment="1">
      <alignment horizontal="right" vertical="top" readingOrder="2"/>
    </xf>
    <xf numFmtId="164" fontId="25" fillId="0" borderId="0" xfId="0" applyNumberFormat="1" applyFont="1" applyAlignment="1">
      <alignment horizontal="right" vertical="top" readingOrder="2"/>
    </xf>
    <xf numFmtId="164" fontId="25" fillId="0" borderId="0" xfId="0" applyNumberFormat="1" applyFont="1" applyAlignment="1">
      <alignment horizontal="right" vertical="center" readingOrder="2"/>
    </xf>
    <xf numFmtId="164" fontId="25" fillId="0" borderId="56" xfId="0" applyNumberFormat="1" applyFont="1" applyBorder="1" applyAlignment="1">
      <alignment horizontal="right" vertical="center" readingOrder="2"/>
    </xf>
    <xf numFmtId="164" fontId="21" fillId="0" borderId="0" xfId="0" applyNumberFormat="1" applyFont="1" applyAlignment="1">
      <alignment horizontal="right" vertical="center" readingOrder="2"/>
    </xf>
    <xf numFmtId="164" fontId="21" fillId="0" borderId="56" xfId="0" applyNumberFormat="1" applyFont="1" applyBorder="1" applyAlignment="1">
      <alignment horizontal="right" vertical="center" readingOrder="2"/>
    </xf>
    <xf numFmtId="1" fontId="20" fillId="0" borderId="0" xfId="0" applyNumberFormat="1" applyFont="1" applyAlignment="1">
      <alignment horizontal="center" vertical="center" readingOrder="2"/>
    </xf>
    <xf numFmtId="164" fontId="22" fillId="2" borderId="9" xfId="1" applyNumberFormat="1" applyFont="1" applyFill="1" applyBorder="1" applyAlignment="1" applyProtection="1">
      <alignment horizontal="center" vertical="center"/>
    </xf>
    <xf numFmtId="164" fontId="21" fillId="0" borderId="0" xfId="0" applyNumberFormat="1" applyFont="1" applyAlignment="1">
      <alignment horizontal="left" vertical="top" readingOrder="2"/>
    </xf>
    <xf numFmtId="164" fontId="25" fillId="4" borderId="0" xfId="0" applyNumberFormat="1" applyFont="1" applyFill="1" applyAlignment="1">
      <alignment horizontal="right" vertical="top" readingOrder="2"/>
    </xf>
    <xf numFmtId="164" fontId="25" fillId="4" borderId="0" xfId="0" applyNumberFormat="1" applyFont="1" applyFill="1" applyAlignment="1">
      <alignment horizontal="right" vertical="center" readingOrder="2"/>
    </xf>
    <xf numFmtId="164" fontId="29" fillId="0" borderId="55" xfId="0" applyNumberFormat="1" applyFont="1" applyBorder="1" applyAlignment="1">
      <alignment vertical="top" readingOrder="2"/>
    </xf>
    <xf numFmtId="164" fontId="21" fillId="0" borderId="16" xfId="0" applyNumberFormat="1" applyFont="1" applyBorder="1" applyAlignment="1">
      <alignment horizontal="center" vertical="center" readingOrder="2"/>
    </xf>
    <xf numFmtId="164" fontId="62" fillId="0" borderId="0" xfId="0" applyNumberFormat="1" applyFont="1" applyAlignment="1">
      <alignment horizontal="center" vertical="center" readingOrder="2"/>
    </xf>
    <xf numFmtId="164" fontId="29" fillId="0" borderId="57" xfId="0" applyNumberFormat="1" applyFont="1" applyBorder="1" applyAlignment="1">
      <alignment horizontal="right" vertical="top" readingOrder="2"/>
    </xf>
    <xf numFmtId="164" fontId="22" fillId="0" borderId="58" xfId="0" applyNumberFormat="1" applyFont="1" applyBorder="1" applyAlignment="1">
      <alignment horizontal="center" vertical="center" readingOrder="2"/>
    </xf>
    <xf numFmtId="164" fontId="21" fillId="0" borderId="58" xfId="0" applyNumberFormat="1" applyFont="1" applyBorder="1" applyAlignment="1">
      <alignment horizontal="right" vertical="top" readingOrder="2"/>
    </xf>
    <xf numFmtId="164" fontId="21" fillId="0" borderId="58" xfId="0" applyNumberFormat="1" applyFont="1" applyBorder="1" applyAlignment="1">
      <alignment horizontal="right" vertical="center" readingOrder="2"/>
    </xf>
    <xf numFmtId="164" fontId="21" fillId="0" borderId="59" xfId="0" applyNumberFormat="1" applyFont="1" applyBorder="1" applyAlignment="1">
      <alignment horizontal="right" vertical="center" readingOrder="2"/>
    </xf>
    <xf numFmtId="164" fontId="29" fillId="0" borderId="0" xfId="0" applyNumberFormat="1" applyFont="1" applyAlignment="1">
      <alignment horizontal="right" vertical="top" readingOrder="2"/>
    </xf>
    <xf numFmtId="164" fontId="51" fillId="0" borderId="0" xfId="0" applyNumberFormat="1" applyFont="1" applyAlignment="1">
      <alignment horizontal="right" vertical="top" readingOrder="2"/>
    </xf>
    <xf numFmtId="164" fontId="21" fillId="0" borderId="0" xfId="0" applyNumberFormat="1" applyFont="1" applyAlignment="1">
      <alignment horizontal="center" vertical="center" wrapText="1" readingOrder="2"/>
    </xf>
    <xf numFmtId="164" fontId="21" fillId="0" borderId="0" xfId="0" quotePrefix="1" applyNumberFormat="1" applyFont="1" applyAlignment="1">
      <alignment horizontal="center" vertical="center" readingOrder="2"/>
    </xf>
    <xf numFmtId="164" fontId="22" fillId="0" borderId="0" xfId="0" applyNumberFormat="1" applyFont="1" applyAlignment="1">
      <alignment horizontal="center" vertical="top" wrapText="1" readingOrder="2"/>
    </xf>
    <xf numFmtId="164" fontId="21" fillId="0" borderId="0" xfId="0" applyNumberFormat="1" applyFont="1" applyAlignment="1">
      <alignment horizontal="center" wrapText="1"/>
    </xf>
    <xf numFmtId="0" fontId="24" fillId="2" borderId="3" xfId="0" applyFont="1" applyFill="1" applyBorder="1" applyAlignment="1">
      <alignment horizontal="center"/>
    </xf>
    <xf numFmtId="0" fontId="24" fillId="2" borderId="0" xfId="0" applyFont="1" applyFill="1" applyAlignment="1">
      <alignment horizontal="center" vertical="center"/>
    </xf>
    <xf numFmtId="164" fontId="24" fillId="2" borderId="3" xfId="0" applyNumberFormat="1" applyFont="1" applyFill="1" applyBorder="1"/>
    <xf numFmtId="0" fontId="24" fillId="2" borderId="0" xfId="0" applyFont="1" applyFill="1" applyAlignment="1">
      <alignment horizontal="center"/>
    </xf>
    <xf numFmtId="164" fontId="24" fillId="2" borderId="0" xfId="0" applyNumberFormat="1" applyFont="1" applyFill="1"/>
    <xf numFmtId="0" fontId="24" fillId="2" borderId="43" xfId="0" applyFont="1" applyFill="1" applyBorder="1" applyAlignment="1">
      <alignment horizontal="center"/>
    </xf>
    <xf numFmtId="0" fontId="24" fillId="2" borderId="43" xfId="0" applyFont="1" applyFill="1" applyBorder="1" applyAlignment="1">
      <alignment horizontal="center" vertical="center"/>
    </xf>
    <xf numFmtId="164" fontId="24" fillId="2" borderId="44" xfId="0" applyNumberFormat="1" applyFont="1" applyFill="1" applyBorder="1"/>
    <xf numFmtId="164" fontId="24" fillId="0" borderId="0" xfId="0" applyNumberFormat="1" applyFont="1" applyAlignment="1">
      <alignment horizontal="center"/>
    </xf>
    <xf numFmtId="164" fontId="24" fillId="0" borderId="0" xfId="0" applyNumberFormat="1" applyFont="1" applyAlignment="1">
      <alignment horizontal="center" vertical="center"/>
    </xf>
    <xf numFmtId="164" fontId="24" fillId="0" borderId="53" xfId="0" applyNumberFormat="1" applyFont="1" applyBorder="1"/>
    <xf numFmtId="164" fontId="24" fillId="0" borderId="53" xfId="0" applyNumberFormat="1" applyFont="1" applyBorder="1" applyAlignment="1">
      <alignment horizontal="center"/>
    </xf>
    <xf numFmtId="164" fontId="24" fillId="0" borderId="53" xfId="0" applyNumberFormat="1" applyFont="1" applyBorder="1" applyAlignment="1">
      <alignment horizontal="center" vertical="center"/>
    </xf>
    <xf numFmtId="164" fontId="24" fillId="0" borderId="54" xfId="0" applyNumberFormat="1" applyFont="1" applyBorder="1"/>
    <xf numFmtId="164" fontId="24" fillId="0" borderId="55" xfId="0" applyNumberFormat="1" applyFont="1" applyBorder="1"/>
    <xf numFmtId="164" fontId="24" fillId="0" borderId="56" xfId="0" applyNumberFormat="1" applyFont="1" applyBorder="1"/>
    <xf numFmtId="164" fontId="29" fillId="4" borderId="0" xfId="0" applyNumberFormat="1" applyFont="1" applyFill="1"/>
    <xf numFmtId="164" fontId="25" fillId="4" borderId="0" xfId="0" applyNumberFormat="1" applyFont="1" applyFill="1"/>
    <xf numFmtId="164" fontId="21" fillId="0" borderId="55" xfId="0" applyNumberFormat="1" applyFont="1" applyBorder="1" applyAlignment="1">
      <alignment vertical="center"/>
    </xf>
    <xf numFmtId="164" fontId="21" fillId="0" borderId="56" xfId="0" applyNumberFormat="1" applyFont="1" applyBorder="1" applyAlignment="1">
      <alignment vertical="center"/>
    </xf>
    <xf numFmtId="164" fontId="20" fillId="0" borderId="55" xfId="0" applyNumberFormat="1" applyFont="1" applyBorder="1" applyAlignment="1">
      <alignment vertical="center"/>
    </xf>
    <xf numFmtId="164" fontId="20" fillId="0" borderId="56" xfId="0" applyNumberFormat="1" applyFont="1" applyBorder="1" applyAlignment="1">
      <alignment vertical="center"/>
    </xf>
    <xf numFmtId="1" fontId="21" fillId="0" borderId="0" xfId="0" applyNumberFormat="1" applyFont="1" applyAlignment="1">
      <alignment horizontal="center" vertical="center"/>
    </xf>
    <xf numFmtId="164" fontId="61" fillId="0" borderId="0" xfId="0" applyNumberFormat="1" applyFont="1" applyAlignment="1">
      <alignment vertical="center"/>
    </xf>
    <xf numFmtId="164" fontId="21" fillId="0" borderId="57" xfId="0" applyNumberFormat="1" applyFont="1" applyBorder="1" applyAlignment="1">
      <alignment vertical="center"/>
    </xf>
    <xf numFmtId="164" fontId="21" fillId="0" borderId="58" xfId="0" applyNumberFormat="1" applyFont="1" applyBorder="1" applyAlignment="1">
      <alignment vertical="center"/>
    </xf>
    <xf numFmtId="164" fontId="21" fillId="0" borderId="59" xfId="0" applyNumberFormat="1" applyFont="1" applyBorder="1" applyAlignment="1">
      <alignment vertical="center"/>
    </xf>
    <xf numFmtId="164" fontId="21" fillId="0" borderId="55" xfId="0" applyNumberFormat="1" applyFont="1" applyBorder="1" applyAlignment="1" applyProtection="1">
      <alignment horizontal="right"/>
      <protection locked="0"/>
    </xf>
    <xf numFmtId="164" fontId="21" fillId="0" borderId="55" xfId="0" applyNumberFormat="1" applyFont="1" applyBorder="1" applyProtection="1">
      <protection locked="0"/>
    </xf>
    <xf numFmtId="164" fontId="22" fillId="0" borderId="65" xfId="0" applyNumberFormat="1" applyFont="1" applyBorder="1" applyAlignment="1">
      <alignment vertical="center"/>
    </xf>
    <xf numFmtId="0" fontId="21" fillId="0" borderId="65" xfId="0" applyFont="1" applyBorder="1" applyAlignment="1">
      <alignment horizontal="center" vertical="center"/>
    </xf>
    <xf numFmtId="164" fontId="22" fillId="0" borderId="72" xfId="0" applyNumberFormat="1" applyFont="1" applyBorder="1" applyAlignment="1">
      <alignment horizontal="center" vertical="center"/>
    </xf>
    <xf numFmtId="164" fontId="22" fillId="0" borderId="72" xfId="0" applyNumberFormat="1" applyFont="1" applyBorder="1" applyAlignment="1">
      <alignment vertical="center"/>
    </xf>
    <xf numFmtId="1" fontId="21" fillId="0" borderId="72" xfId="0" applyNumberFormat="1" applyFont="1" applyBorder="1" applyAlignment="1">
      <alignment horizontal="center" vertical="center"/>
    </xf>
    <xf numFmtId="164" fontId="21" fillId="0" borderId="72" xfId="0" applyNumberFormat="1" applyFont="1" applyBorder="1" applyAlignment="1">
      <alignment horizontal="center" vertical="center"/>
    </xf>
    <xf numFmtId="1" fontId="21" fillId="0" borderId="65" xfId="0" applyNumberFormat="1" applyFont="1" applyBorder="1" applyAlignment="1">
      <alignment horizontal="center" vertical="center"/>
    </xf>
    <xf numFmtId="164" fontId="22" fillId="0" borderId="43" xfId="0" applyNumberFormat="1" applyFont="1" applyBorder="1" applyAlignment="1">
      <alignment horizontal="center" vertical="center"/>
    </xf>
    <xf numFmtId="164" fontId="22" fillId="0" borderId="43" xfId="0" applyNumberFormat="1" applyFont="1" applyBorder="1" applyAlignment="1">
      <alignment vertical="center"/>
    </xf>
    <xf numFmtId="1" fontId="21" fillId="0" borderId="43" xfId="0" applyNumberFormat="1" applyFont="1" applyBorder="1" applyAlignment="1">
      <alignment horizontal="center" vertical="center"/>
    </xf>
    <xf numFmtId="164" fontId="21" fillId="0" borderId="43" xfId="0" applyNumberFormat="1" applyFont="1" applyBorder="1" applyAlignment="1">
      <alignment horizontal="center" vertical="center"/>
    </xf>
    <xf numFmtId="164" fontId="22" fillId="0" borderId="50" xfId="0" applyNumberFormat="1" applyFont="1" applyBorder="1" applyAlignment="1">
      <alignment vertical="center"/>
    </xf>
    <xf numFmtId="1" fontId="21" fillId="0" borderId="50" xfId="0" applyNumberFormat="1" applyFont="1" applyBorder="1" applyAlignment="1">
      <alignment horizontal="center" vertical="center"/>
    </xf>
    <xf numFmtId="164" fontId="22" fillId="0" borderId="65" xfId="0" applyNumberFormat="1" applyFont="1" applyBorder="1" applyAlignment="1">
      <alignment horizontal="right" vertical="center" wrapText="1"/>
    </xf>
    <xf numFmtId="164" fontId="54" fillId="0" borderId="65" xfId="0" applyNumberFormat="1" applyFont="1" applyBorder="1" applyAlignment="1">
      <alignment horizontal="center" vertical="center"/>
    </xf>
    <xf numFmtId="14" fontId="21" fillId="3" borderId="74" xfId="1" applyNumberFormat="1" applyFont="1" applyFill="1" applyBorder="1" applyAlignment="1" applyProtection="1">
      <alignment horizontal="center" vertical="center"/>
      <protection locked="0"/>
    </xf>
    <xf numFmtId="164" fontId="64" fillId="0" borderId="0" xfId="0" applyNumberFormat="1" applyFont="1" applyAlignment="1">
      <alignment horizontal="right" vertical="top" readingOrder="2"/>
    </xf>
    <xf numFmtId="164" fontId="21" fillId="3" borderId="0" xfId="2" applyNumberFormat="1" applyFont="1" applyFill="1" applyBorder="1" applyAlignment="1" applyProtection="1">
      <alignment horizontal="right" vertical="top" readingOrder="2"/>
      <protection locked="0"/>
    </xf>
    <xf numFmtId="0" fontId="28" fillId="2" borderId="2" xfId="0" applyFont="1" applyFill="1" applyBorder="1" applyProtection="1">
      <protection locked="0"/>
    </xf>
    <xf numFmtId="0" fontId="24" fillId="2" borderId="3" xfId="0" applyFont="1" applyFill="1" applyBorder="1" applyProtection="1">
      <protection locked="0"/>
    </xf>
    <xf numFmtId="0" fontId="27" fillId="2" borderId="3" xfId="0" applyFont="1" applyFill="1" applyBorder="1" applyAlignment="1" applyProtection="1">
      <alignment horizontal="center"/>
      <protection locked="0"/>
    </xf>
    <xf numFmtId="0" fontId="31" fillId="0" borderId="0" xfId="0" applyFont="1" applyAlignment="1" applyProtection="1">
      <alignment vertical="center" readingOrder="2"/>
      <protection locked="0"/>
    </xf>
    <xf numFmtId="0" fontId="18" fillId="0" borderId="0" xfId="0" applyFont="1" applyProtection="1">
      <protection locked="0"/>
    </xf>
    <xf numFmtId="0" fontId="24" fillId="0" borderId="0" xfId="0" applyFont="1" applyProtection="1">
      <protection locked="0"/>
    </xf>
    <xf numFmtId="164" fontId="38" fillId="0" borderId="0" xfId="0" applyNumberFormat="1" applyFont="1" applyProtection="1">
      <protection locked="0"/>
    </xf>
    <xf numFmtId="164" fontId="22" fillId="0" borderId="23" xfId="0" applyNumberFormat="1" applyFont="1" applyBorder="1" applyAlignment="1" applyProtection="1">
      <alignment wrapText="1"/>
      <protection locked="0"/>
    </xf>
    <xf numFmtId="164" fontId="38" fillId="0" borderId="24" xfId="0" applyNumberFormat="1" applyFont="1" applyBorder="1" applyProtection="1">
      <protection locked="0"/>
    </xf>
    <xf numFmtId="164" fontId="22" fillId="0" borderId="25" xfId="0" applyNumberFormat="1" applyFont="1" applyBorder="1" applyAlignment="1" applyProtection="1">
      <alignment wrapText="1"/>
      <protection locked="0"/>
    </xf>
    <xf numFmtId="164" fontId="22" fillId="0" borderId="26" xfId="0" applyNumberFormat="1" applyFont="1" applyBorder="1" applyAlignment="1" applyProtection="1">
      <alignment horizontal="center"/>
      <protection locked="0"/>
    </xf>
    <xf numFmtId="164" fontId="38" fillId="0" borderId="27" xfId="0" applyNumberFormat="1" applyFont="1" applyBorder="1" applyProtection="1">
      <protection locked="0"/>
    </xf>
    <xf numFmtId="164" fontId="24" fillId="3" borderId="0" xfId="0" applyNumberFormat="1" applyFont="1" applyFill="1" applyAlignment="1" applyProtection="1">
      <alignment vertical="top" wrapText="1" readingOrder="2"/>
      <protection locked="0"/>
    </xf>
    <xf numFmtId="164" fontId="24" fillId="3" borderId="35" xfId="0" applyNumberFormat="1" applyFont="1" applyFill="1" applyBorder="1" applyAlignment="1" applyProtection="1">
      <alignment vertical="top" wrapText="1" readingOrder="2"/>
      <protection locked="0"/>
    </xf>
    <xf numFmtId="164" fontId="24" fillId="3" borderId="36" xfId="0" applyNumberFormat="1" applyFont="1" applyFill="1" applyBorder="1" applyAlignment="1" applyProtection="1">
      <alignment vertical="top" wrapText="1" readingOrder="2"/>
      <protection locked="0"/>
    </xf>
    <xf numFmtId="164" fontId="24" fillId="3" borderId="37" xfId="0" applyNumberFormat="1" applyFont="1" applyFill="1" applyBorder="1" applyAlignment="1" applyProtection="1">
      <alignment vertical="top" wrapText="1" readingOrder="2"/>
      <protection locked="0"/>
    </xf>
    <xf numFmtId="164" fontId="24" fillId="3" borderId="38" xfId="0" applyNumberFormat="1" applyFont="1" applyFill="1" applyBorder="1" applyAlignment="1" applyProtection="1">
      <alignment vertical="top" wrapText="1" readingOrder="2"/>
      <protection locked="0"/>
    </xf>
    <xf numFmtId="164" fontId="24" fillId="3" borderId="39" xfId="0" applyNumberFormat="1" applyFont="1" applyFill="1" applyBorder="1" applyAlignment="1" applyProtection="1">
      <alignment vertical="top" wrapText="1" readingOrder="2"/>
      <protection locked="0"/>
    </xf>
    <xf numFmtId="0" fontId="22" fillId="0" borderId="0" xfId="5" applyFont="1" applyAlignment="1">
      <alignment horizontal="center" vertical="top" wrapText="1" readingOrder="2"/>
    </xf>
    <xf numFmtId="0" fontId="20" fillId="6" borderId="0" xfId="5" applyFont="1" applyFill="1" applyAlignment="1">
      <alignment horizontal="center" vertical="center" wrapText="1"/>
    </xf>
    <xf numFmtId="0" fontId="20" fillId="4" borderId="0" xfId="5" applyFont="1" applyFill="1" applyAlignment="1">
      <alignment horizontal="center" vertical="center" wrapText="1"/>
    </xf>
    <xf numFmtId="164" fontId="22" fillId="0" borderId="0" xfId="0" applyNumberFormat="1" applyFont="1" applyAlignment="1" applyProtection="1">
      <alignment horizontal="center" vertical="center"/>
      <protection locked="0"/>
    </xf>
    <xf numFmtId="9" fontId="22" fillId="0" borderId="0" xfId="2" applyFont="1" applyFill="1" applyBorder="1" applyAlignment="1" applyProtection="1">
      <alignment horizontal="center" vertical="center" wrapText="1" readingOrder="2"/>
    </xf>
    <xf numFmtId="0" fontId="22" fillId="0" borderId="65" xfId="0" applyFont="1" applyBorder="1" applyAlignment="1">
      <alignment vertical="center"/>
    </xf>
    <xf numFmtId="9" fontId="22" fillId="0" borderId="63" xfId="2" applyFont="1" applyFill="1" applyBorder="1" applyAlignment="1" applyProtection="1">
      <alignment horizontal="center" vertical="center" wrapText="1" readingOrder="2"/>
    </xf>
    <xf numFmtId="10" fontId="22" fillId="3" borderId="19" xfId="2" applyNumberFormat="1" applyFont="1" applyFill="1" applyBorder="1" applyAlignment="1" applyProtection="1">
      <alignment vertical="center"/>
      <protection locked="0"/>
    </xf>
    <xf numFmtId="0" fontId="21" fillId="3" borderId="0" xfId="5" applyFont="1" applyFill="1" applyAlignment="1" applyProtection="1">
      <alignment horizontal="center"/>
      <protection locked="0"/>
    </xf>
    <xf numFmtId="169" fontId="21" fillId="3" borderId="0" xfId="5" applyNumberFormat="1" applyFont="1" applyFill="1" applyAlignment="1" applyProtection="1">
      <alignment horizontal="center"/>
      <protection locked="0"/>
    </xf>
    <xf numFmtId="165" fontId="21" fillId="0" borderId="0" xfId="1" applyNumberFormat="1" applyFont="1" applyFill="1" applyBorder="1" applyAlignment="1">
      <alignment horizontal="center"/>
    </xf>
    <xf numFmtId="165" fontId="22" fillId="2" borderId="9" xfId="1" applyNumberFormat="1" applyFont="1" applyFill="1" applyBorder="1" applyAlignment="1">
      <alignment horizontal="center" vertical="center"/>
    </xf>
    <xf numFmtId="0" fontId="25" fillId="0" borderId="0" xfId="5" applyFont="1"/>
    <xf numFmtId="0" fontId="27" fillId="0" borderId="0" xfId="5" applyFont="1" applyAlignment="1">
      <alignment horizontal="center" readingOrder="2"/>
    </xf>
    <xf numFmtId="0" fontId="29" fillId="0" borderId="0" xfId="5" applyFont="1" applyAlignment="1">
      <alignment horizontal="center" readingOrder="2"/>
    </xf>
    <xf numFmtId="0" fontId="65" fillId="0" borderId="0" xfId="0" applyFont="1" applyAlignment="1">
      <alignment horizontal="right" vertical="center" readingOrder="2"/>
    </xf>
    <xf numFmtId="0" fontId="54" fillId="0" borderId="0" xfId="5" applyFont="1" applyAlignment="1">
      <alignment horizontal="center"/>
    </xf>
    <xf numFmtId="0" fontId="24" fillId="2" borderId="0" xfId="0" applyFont="1" applyFill="1" applyAlignment="1">
      <alignment horizontal="center" vertical="top" wrapText="1"/>
    </xf>
    <xf numFmtId="164" fontId="24" fillId="2" borderId="3" xfId="0" applyNumberFormat="1" applyFont="1" applyFill="1" applyBorder="1" applyAlignment="1">
      <alignment horizontal="center" vertical="top" wrapText="1"/>
    </xf>
    <xf numFmtId="164" fontId="24" fillId="2" borderId="3" xfId="0" applyNumberFormat="1" applyFont="1" applyFill="1" applyBorder="1" applyAlignment="1">
      <alignment vertical="top" wrapText="1"/>
    </xf>
    <xf numFmtId="164" fontId="24" fillId="2" borderId="0" xfId="0" applyNumberFormat="1" applyFont="1" applyFill="1" applyAlignment="1">
      <alignment horizontal="center" vertical="top" wrapText="1"/>
    </xf>
    <xf numFmtId="164" fontId="24" fillId="2" borderId="0" xfId="0" applyNumberFormat="1" applyFont="1" applyFill="1" applyAlignment="1">
      <alignment vertical="top" wrapText="1"/>
    </xf>
    <xf numFmtId="0" fontId="24" fillId="2" borderId="43" xfId="0" applyFont="1" applyFill="1" applyBorder="1" applyAlignment="1">
      <alignment horizontal="center" vertical="top" wrapText="1"/>
    </xf>
    <xf numFmtId="164" fontId="24" fillId="2" borderId="43" xfId="0" applyNumberFormat="1" applyFont="1" applyFill="1" applyBorder="1" applyAlignment="1">
      <alignment horizontal="center" vertical="top" wrapText="1"/>
    </xf>
    <xf numFmtId="164" fontId="24" fillId="2" borderId="43" xfId="0" applyNumberFormat="1" applyFont="1" applyFill="1" applyBorder="1" applyAlignment="1">
      <alignment vertical="top" wrapText="1"/>
    </xf>
    <xf numFmtId="164" fontId="24" fillId="0" borderId="0" xfId="0" applyNumberFormat="1" applyFont="1" applyAlignment="1">
      <alignment horizontal="center" vertical="top" wrapText="1"/>
    </xf>
    <xf numFmtId="164" fontId="24" fillId="0" borderId="0" xfId="0" applyNumberFormat="1" applyFont="1" applyAlignment="1">
      <alignment vertical="top" wrapText="1"/>
    </xf>
    <xf numFmtId="164" fontId="24" fillId="0" borderId="53" xfId="0" applyNumberFormat="1" applyFont="1" applyBorder="1" applyAlignment="1">
      <alignment horizontal="center" vertical="top" wrapText="1"/>
    </xf>
    <xf numFmtId="164" fontId="24" fillId="0" borderId="53" xfId="0" applyNumberFormat="1" applyFont="1" applyBorder="1" applyAlignment="1">
      <alignment vertical="top" wrapText="1"/>
    </xf>
    <xf numFmtId="164" fontId="25" fillId="0" borderId="0" xfId="0" applyNumberFormat="1" applyFont="1" applyAlignment="1">
      <alignment horizontal="center" vertical="top" wrapText="1"/>
    </xf>
    <xf numFmtId="164" fontId="25" fillId="0" borderId="0" xfId="0" applyNumberFormat="1" applyFont="1" applyAlignment="1">
      <alignment vertical="top" wrapText="1"/>
    </xf>
    <xf numFmtId="164" fontId="21" fillId="0" borderId="0" xfId="0" applyNumberFormat="1" applyFont="1" applyAlignment="1">
      <alignment horizontal="center" vertical="top" wrapText="1"/>
    </xf>
    <xf numFmtId="164" fontId="21" fillId="0" borderId="72" xfId="0" applyNumberFormat="1" applyFont="1" applyBorder="1" applyAlignment="1">
      <alignment horizontal="center" vertical="top" wrapText="1"/>
    </xf>
    <xf numFmtId="164" fontId="21" fillId="3" borderId="72" xfId="0" applyNumberFormat="1" applyFont="1" applyFill="1" applyBorder="1" applyAlignment="1" applyProtection="1">
      <alignment vertical="top" wrapText="1"/>
      <protection locked="0"/>
    </xf>
    <xf numFmtId="164" fontId="21" fillId="0" borderId="43" xfId="0" applyNumberFormat="1" applyFont="1" applyBorder="1" applyAlignment="1">
      <alignment horizontal="center" vertical="top" wrapText="1"/>
    </xf>
    <xf numFmtId="164" fontId="21" fillId="3" borderId="43" xfId="0" applyNumberFormat="1" applyFont="1" applyFill="1" applyBorder="1" applyAlignment="1" applyProtection="1">
      <alignment vertical="top" wrapText="1"/>
      <protection locked="0"/>
    </xf>
    <xf numFmtId="164" fontId="21" fillId="0" borderId="65" xfId="0" applyNumberFormat="1" applyFont="1" applyBorder="1" applyAlignment="1">
      <alignment horizontal="center" vertical="top" wrapText="1"/>
    </xf>
    <xf numFmtId="164" fontId="21" fillId="3" borderId="65" xfId="0" applyNumberFormat="1" applyFont="1" applyFill="1" applyBorder="1" applyAlignment="1" applyProtection="1">
      <alignment vertical="top" wrapText="1"/>
      <protection locked="0"/>
    </xf>
    <xf numFmtId="9" fontId="21" fillId="0" borderId="43" xfId="0" applyNumberFormat="1" applyFont="1" applyBorder="1" applyAlignment="1">
      <alignment horizontal="center" vertical="top" wrapText="1"/>
    </xf>
    <xf numFmtId="164" fontId="54" fillId="0" borderId="65" xfId="0" applyNumberFormat="1" applyFont="1" applyBorder="1" applyAlignment="1">
      <alignment horizontal="center" vertical="top" wrapText="1"/>
    </xf>
    <xf numFmtId="164" fontId="21" fillId="0" borderId="58" xfId="0" applyNumberFormat="1" applyFont="1" applyBorder="1" applyAlignment="1">
      <alignment horizontal="center" vertical="top" wrapText="1"/>
    </xf>
    <xf numFmtId="164" fontId="21" fillId="0" borderId="58" xfId="0" applyNumberFormat="1" applyFont="1" applyBorder="1" applyAlignment="1">
      <alignment vertical="top" wrapText="1"/>
    </xf>
    <xf numFmtId="0" fontId="22" fillId="3" borderId="28" xfId="0" applyFont="1" applyFill="1" applyBorder="1" applyAlignment="1" applyProtection="1">
      <alignment horizontal="center" vertical="center" wrapText="1"/>
      <protection locked="0"/>
    </xf>
    <xf numFmtId="10" fontId="22" fillId="2" borderId="9" xfId="2" applyNumberFormat="1" applyFont="1" applyFill="1" applyBorder="1" applyAlignment="1">
      <alignment horizontal="center" vertical="center"/>
    </xf>
    <xf numFmtId="10" fontId="49" fillId="0" borderId="0" xfId="2" applyNumberFormat="1" applyFont="1" applyFill="1" applyBorder="1" applyAlignment="1">
      <alignment horizontal="center" vertical="center"/>
    </xf>
    <xf numFmtId="10" fontId="49" fillId="0" borderId="65" xfId="2" applyNumberFormat="1" applyFont="1" applyFill="1" applyBorder="1" applyAlignment="1">
      <alignment horizontal="center" vertical="center"/>
    </xf>
    <xf numFmtId="10" fontId="22" fillId="0" borderId="63" xfId="2" applyNumberFormat="1" applyFont="1" applyFill="1" applyBorder="1" applyAlignment="1" applyProtection="1">
      <alignment horizontal="center" vertical="center" wrapText="1" readingOrder="2"/>
    </xf>
    <xf numFmtId="164" fontId="22" fillId="0" borderId="58" xfId="0" applyNumberFormat="1" applyFont="1" applyBorder="1" applyAlignment="1">
      <alignment vertical="center"/>
    </xf>
    <xf numFmtId="0" fontId="66" fillId="0" borderId="0" xfId="4" applyFont="1" applyFill="1" applyProtection="1"/>
    <xf numFmtId="14" fontId="4" fillId="7" borderId="75" xfId="0" applyNumberFormat="1" applyFont="1" applyFill="1" applyBorder="1" applyProtection="1">
      <protection locked="0"/>
    </xf>
    <xf numFmtId="164" fontId="4" fillId="7" borderId="75" xfId="0" applyNumberFormat="1" applyFont="1" applyFill="1" applyBorder="1" applyProtection="1">
      <protection locked="0"/>
    </xf>
    <xf numFmtId="165" fontId="4" fillId="7" borderId="75" xfId="1" applyNumberFormat="1" applyFont="1" applyFill="1" applyBorder="1" applyAlignment="1" applyProtection="1">
      <protection locked="0"/>
    </xf>
    <xf numFmtId="9" fontId="4" fillId="7" borderId="75" xfId="2" applyFont="1" applyFill="1" applyBorder="1" applyAlignment="1" applyProtection="1">
      <protection locked="0"/>
    </xf>
    <xf numFmtId="164" fontId="21" fillId="0" borderId="0" xfId="0" applyNumberFormat="1" applyFont="1" applyAlignment="1" applyProtection="1">
      <alignment readingOrder="2"/>
      <protection locked="0"/>
    </xf>
    <xf numFmtId="164" fontId="21" fillId="0" borderId="0" xfId="0" applyNumberFormat="1" applyFont="1" applyAlignment="1">
      <alignment horizontal="center" vertical="center"/>
    </xf>
    <xf numFmtId="0" fontId="20" fillId="0" borderId="0" xfId="0" applyFont="1" applyAlignment="1">
      <alignment horizontal="center"/>
    </xf>
    <xf numFmtId="0" fontId="29" fillId="4" borderId="20" xfId="4" applyNumberFormat="1" applyFont="1" applyFill="1" applyBorder="1" applyAlignment="1" applyProtection="1">
      <alignment horizontal="right" vertical="center"/>
    </xf>
    <xf numFmtId="0" fontId="29" fillId="4" borderId="21" xfId="4" applyNumberFormat="1" applyFont="1" applyFill="1" applyBorder="1" applyAlignment="1" applyProtection="1">
      <alignment horizontal="right" vertical="center"/>
    </xf>
    <xf numFmtId="0" fontId="29" fillId="4" borderId="22" xfId="4" applyNumberFormat="1" applyFont="1" applyFill="1" applyBorder="1" applyAlignment="1" applyProtection="1">
      <alignment horizontal="right" vertical="center"/>
    </xf>
    <xf numFmtId="0" fontId="29" fillId="4" borderId="23" xfId="4" applyFont="1" applyFill="1" applyBorder="1" applyAlignment="1" applyProtection="1">
      <alignment horizontal="right" vertical="center"/>
    </xf>
    <xf numFmtId="0" fontId="29" fillId="4" borderId="0" xfId="4" applyFont="1" applyFill="1" applyBorder="1" applyAlignment="1" applyProtection="1">
      <alignment horizontal="right" vertical="center"/>
    </xf>
    <xf numFmtId="0" fontId="29" fillId="4" borderId="24" xfId="4" applyFont="1" applyFill="1" applyBorder="1" applyAlignment="1" applyProtection="1">
      <alignment horizontal="right" vertical="center"/>
    </xf>
    <xf numFmtId="164" fontId="27" fillId="0" borderId="6" xfId="0" applyNumberFormat="1" applyFont="1" applyBorder="1" applyAlignment="1">
      <alignment horizontal="center" wrapText="1"/>
    </xf>
    <xf numFmtId="164" fontId="27" fillId="0" borderId="6" xfId="0" applyNumberFormat="1" applyFont="1" applyBorder="1" applyAlignment="1">
      <alignment horizontal="center"/>
    </xf>
    <xf numFmtId="164" fontId="21" fillId="0" borderId="7" xfId="0" applyNumberFormat="1" applyFont="1" applyBorder="1" applyAlignment="1" applyProtection="1">
      <alignment horizontal="center"/>
      <protection locked="0"/>
    </xf>
    <xf numFmtId="164" fontId="21" fillId="0" borderId="7" xfId="0" quotePrefix="1" applyNumberFormat="1" applyFont="1" applyBorder="1" applyAlignment="1" applyProtection="1">
      <alignment horizontal="center"/>
      <protection locked="0"/>
    </xf>
    <xf numFmtId="164" fontId="29" fillId="0" borderId="20" xfId="0" applyNumberFormat="1" applyFont="1" applyBorder="1" applyAlignment="1">
      <alignment horizontal="center" vertical="center"/>
    </xf>
    <xf numFmtId="164" fontId="29" fillId="0" borderId="21" xfId="0" applyNumberFormat="1" applyFont="1" applyBorder="1" applyAlignment="1">
      <alignment horizontal="center" vertical="center"/>
    </xf>
    <xf numFmtId="164" fontId="29" fillId="0" borderId="22" xfId="0" applyNumberFormat="1" applyFont="1" applyBorder="1" applyAlignment="1">
      <alignment horizontal="center" vertical="center"/>
    </xf>
    <xf numFmtId="164" fontId="21" fillId="0" borderId="32" xfId="0" applyNumberFormat="1" applyFont="1" applyBorder="1" applyAlignment="1" applyProtection="1">
      <alignment horizontal="right" vertical="top" wrapText="1"/>
      <protection locked="0"/>
    </xf>
    <xf numFmtId="164" fontId="21" fillId="0" borderId="33" xfId="0" applyNumberFormat="1" applyFont="1" applyBorder="1" applyAlignment="1" applyProtection="1">
      <alignment horizontal="right" vertical="top"/>
      <protection locked="0"/>
    </xf>
    <xf numFmtId="164" fontId="21" fillId="0" borderId="34" xfId="0" applyNumberFormat="1" applyFont="1" applyBorder="1" applyAlignment="1" applyProtection="1">
      <alignment horizontal="right" vertical="top"/>
      <protection locked="0"/>
    </xf>
    <xf numFmtId="164" fontId="21" fillId="0" borderId="35" xfId="0" applyNumberFormat="1" applyFont="1" applyBorder="1" applyAlignment="1" applyProtection="1">
      <alignment horizontal="right" vertical="top"/>
      <protection locked="0"/>
    </xf>
    <xf numFmtId="164" fontId="21" fillId="0" borderId="0" xfId="0" applyNumberFormat="1" applyFont="1" applyAlignment="1" applyProtection="1">
      <alignment horizontal="right" vertical="top"/>
      <protection locked="0"/>
    </xf>
    <xf numFmtId="164" fontId="21" fillId="0" borderId="36" xfId="0" applyNumberFormat="1" applyFont="1" applyBorder="1" applyAlignment="1" applyProtection="1">
      <alignment horizontal="right" vertical="top"/>
      <protection locked="0"/>
    </xf>
    <xf numFmtId="164" fontId="21" fillId="0" borderId="37" xfId="0" applyNumberFormat="1" applyFont="1" applyBorder="1" applyAlignment="1" applyProtection="1">
      <alignment horizontal="right" vertical="top"/>
      <protection locked="0"/>
    </xf>
    <xf numFmtId="164" fontId="21" fillId="0" borderId="38" xfId="0" applyNumberFormat="1" applyFont="1" applyBorder="1" applyAlignment="1" applyProtection="1">
      <alignment horizontal="right" vertical="top"/>
      <protection locked="0"/>
    </xf>
    <xf numFmtId="164" fontId="21" fillId="0" borderId="39" xfId="0" applyNumberFormat="1" applyFont="1" applyBorder="1" applyAlignment="1" applyProtection="1">
      <alignment horizontal="right" vertical="top"/>
      <protection locked="0"/>
    </xf>
    <xf numFmtId="164" fontId="21" fillId="0" borderId="23" xfId="0" applyNumberFormat="1" applyFont="1" applyBorder="1" applyAlignment="1">
      <alignment horizontal="right" vertical="center"/>
    </xf>
    <xf numFmtId="164" fontId="21" fillId="0" borderId="0" xfId="0" applyNumberFormat="1" applyFont="1" applyAlignment="1">
      <alignment horizontal="right" vertical="center"/>
    </xf>
    <xf numFmtId="164" fontId="21" fillId="0" borderId="55" xfId="0" applyNumberFormat="1" applyFont="1" applyBorder="1" applyAlignment="1">
      <alignment horizontal="center"/>
    </xf>
    <xf numFmtId="164" fontId="21" fillId="0" borderId="0" xfId="0" applyNumberFormat="1" applyFont="1" applyAlignment="1">
      <alignment horizontal="center"/>
    </xf>
    <xf numFmtId="164" fontId="48" fillId="0" borderId="0" xfId="0" applyNumberFormat="1" applyFont="1" applyAlignment="1">
      <alignment horizontal="center"/>
    </xf>
    <xf numFmtId="164" fontId="21" fillId="0" borderId="55" xfId="0" applyNumberFormat="1" applyFont="1" applyBorder="1" applyAlignment="1">
      <alignment horizontal="right" wrapText="1"/>
    </xf>
    <xf numFmtId="0" fontId="21" fillId="0" borderId="0" xfId="0" applyFont="1" applyAlignment="1">
      <alignment horizontal="right" wrapText="1"/>
    </xf>
    <xf numFmtId="164" fontId="22" fillId="0" borderId="55" xfId="0" applyNumberFormat="1" applyFont="1" applyBorder="1" applyAlignment="1">
      <alignment horizontal="center" vertical="top"/>
    </xf>
    <xf numFmtId="164" fontId="21" fillId="3" borderId="61" xfId="0" applyNumberFormat="1" applyFont="1" applyFill="1" applyBorder="1" applyAlignment="1" applyProtection="1">
      <alignment horizontal="right" vertical="top" wrapText="1"/>
      <protection locked="0"/>
    </xf>
    <xf numFmtId="164" fontId="21" fillId="3" borderId="50" xfId="0" applyNumberFormat="1" applyFont="1" applyFill="1" applyBorder="1" applyAlignment="1" applyProtection="1">
      <alignment horizontal="right" vertical="top" wrapText="1"/>
      <protection locked="0"/>
    </xf>
    <xf numFmtId="164" fontId="21" fillId="3" borderId="51" xfId="0" applyNumberFormat="1" applyFont="1" applyFill="1" applyBorder="1" applyAlignment="1" applyProtection="1">
      <alignment horizontal="right" vertical="top" wrapText="1"/>
      <protection locked="0"/>
    </xf>
    <xf numFmtId="164" fontId="21" fillId="3" borderId="62" xfId="0" applyNumberFormat="1" applyFont="1" applyFill="1" applyBorder="1" applyAlignment="1" applyProtection="1">
      <alignment horizontal="right" vertical="top" wrapText="1"/>
      <protection locked="0"/>
    </xf>
    <xf numFmtId="164" fontId="21" fillId="3" borderId="0" xfId="0" applyNumberFormat="1" applyFont="1" applyFill="1" applyAlignment="1" applyProtection="1">
      <alignment horizontal="right" vertical="top" wrapText="1"/>
      <protection locked="0"/>
    </xf>
    <xf numFmtId="164" fontId="21" fillId="3" borderId="63" xfId="0" applyNumberFormat="1" applyFont="1" applyFill="1" applyBorder="1" applyAlignment="1" applyProtection="1">
      <alignment horizontal="right" vertical="top" wrapText="1"/>
      <protection locked="0"/>
    </xf>
    <xf numFmtId="164" fontId="21" fillId="3" borderId="64" xfId="0" applyNumberFormat="1" applyFont="1" applyFill="1" applyBorder="1" applyAlignment="1" applyProtection="1">
      <alignment horizontal="right" vertical="top" wrapText="1"/>
      <protection locked="0"/>
    </xf>
    <xf numFmtId="164" fontId="21" fillId="3" borderId="65" xfId="0" applyNumberFormat="1" applyFont="1" applyFill="1" applyBorder="1" applyAlignment="1" applyProtection="1">
      <alignment horizontal="right" vertical="top" wrapText="1"/>
      <protection locked="0"/>
    </xf>
    <xf numFmtId="164" fontId="21" fillId="3" borderId="66" xfId="0" applyNumberFormat="1" applyFont="1" applyFill="1" applyBorder="1" applyAlignment="1" applyProtection="1">
      <alignment horizontal="right" vertical="top" wrapText="1"/>
      <protection locked="0"/>
    </xf>
    <xf numFmtId="164" fontId="29" fillId="4" borderId="55" xfId="0" applyNumberFormat="1" applyFont="1" applyFill="1" applyBorder="1" applyAlignment="1">
      <alignment horizontal="right" vertical="center"/>
    </xf>
    <xf numFmtId="164" fontId="29" fillId="4" borderId="0" xfId="0" applyNumberFormat="1" applyFont="1" applyFill="1" applyAlignment="1">
      <alignment horizontal="right" vertical="center"/>
    </xf>
    <xf numFmtId="164" fontId="24" fillId="3" borderId="35" xfId="0" applyNumberFormat="1" applyFont="1" applyFill="1" applyBorder="1" applyAlignment="1" applyProtection="1">
      <alignment horizontal="right" vertical="top" wrapText="1" readingOrder="2"/>
      <protection locked="0"/>
    </xf>
    <xf numFmtId="164" fontId="24" fillId="3" borderId="0" xfId="0" applyNumberFormat="1" applyFont="1" applyFill="1" applyAlignment="1" applyProtection="1">
      <alignment horizontal="right" vertical="top" wrapText="1" readingOrder="2"/>
      <protection locked="0"/>
    </xf>
    <xf numFmtId="164" fontId="24" fillId="3" borderId="36" xfId="0" applyNumberFormat="1" applyFont="1" applyFill="1" applyBorder="1" applyAlignment="1" applyProtection="1">
      <alignment horizontal="right" vertical="top" wrapText="1" readingOrder="2"/>
      <protection locked="0"/>
    </xf>
    <xf numFmtId="164" fontId="21" fillId="0" borderId="0" xfId="0" applyNumberFormat="1" applyFont="1" applyAlignment="1">
      <alignment horizontal="right" vertical="top" wrapText="1" readingOrder="2"/>
    </xf>
    <xf numFmtId="164" fontId="21" fillId="0" borderId="0" xfId="0" applyNumberFormat="1" applyFont="1" applyAlignment="1">
      <alignment horizontal="center" vertical="center" readingOrder="2"/>
    </xf>
    <xf numFmtId="164" fontId="21" fillId="0" borderId="0" xfId="0" applyNumberFormat="1" applyFont="1" applyAlignment="1">
      <alignment horizontal="center" vertical="top" readingOrder="2"/>
    </xf>
    <xf numFmtId="164" fontId="51" fillId="0" borderId="0" xfId="0" applyNumberFormat="1" applyFont="1" applyAlignment="1">
      <alignment horizontal="right" vertical="top" readingOrder="2"/>
    </xf>
    <xf numFmtId="164" fontId="51" fillId="0" borderId="0" xfId="0" applyNumberFormat="1" applyFont="1" applyAlignment="1">
      <alignment horizontal="center" readingOrder="2"/>
    </xf>
    <xf numFmtId="164" fontId="22" fillId="0" borderId="0" xfId="0" applyNumberFormat="1" applyFont="1" applyAlignment="1">
      <alignment horizontal="center" vertical="center" readingOrder="2"/>
    </xf>
    <xf numFmtId="164" fontId="21" fillId="0" borderId="0" xfId="0" applyNumberFormat="1" applyFont="1" applyAlignment="1">
      <alignment horizontal="right" vertical="top" readingOrder="2"/>
    </xf>
    <xf numFmtId="164" fontId="21" fillId="3" borderId="74" xfId="0" applyNumberFormat="1" applyFont="1" applyFill="1" applyBorder="1" applyAlignment="1" applyProtection="1">
      <alignment horizontal="right" vertical="top" wrapText="1" readingOrder="2"/>
      <protection locked="0"/>
    </xf>
    <xf numFmtId="164" fontId="21" fillId="3" borderId="32" xfId="0" applyNumberFormat="1" applyFont="1" applyFill="1" applyBorder="1" applyAlignment="1" applyProtection="1">
      <alignment horizontal="right" vertical="top" wrapText="1" readingOrder="2"/>
      <protection locked="0"/>
    </xf>
    <xf numFmtId="164" fontId="21" fillId="3" borderId="33" xfId="0" applyNumberFormat="1" applyFont="1" applyFill="1" applyBorder="1" applyAlignment="1" applyProtection="1">
      <alignment horizontal="right" vertical="top" wrapText="1" readingOrder="2"/>
      <protection locked="0"/>
    </xf>
    <xf numFmtId="164" fontId="21" fillId="3" borderId="34" xfId="0" applyNumberFormat="1" applyFont="1" applyFill="1" applyBorder="1" applyAlignment="1" applyProtection="1">
      <alignment horizontal="right" vertical="top" wrapText="1" readingOrder="2"/>
      <protection locked="0"/>
    </xf>
    <xf numFmtId="164" fontId="21" fillId="3" borderId="35" xfId="0" applyNumberFormat="1" applyFont="1" applyFill="1" applyBorder="1" applyAlignment="1" applyProtection="1">
      <alignment horizontal="right" vertical="top" wrapText="1" readingOrder="2"/>
      <protection locked="0"/>
    </xf>
    <xf numFmtId="164" fontId="21" fillId="3" borderId="0" xfId="0" applyNumberFormat="1" applyFont="1" applyFill="1" applyAlignment="1" applyProtection="1">
      <alignment horizontal="right" vertical="top" wrapText="1" readingOrder="2"/>
      <protection locked="0"/>
    </xf>
    <xf numFmtId="164" fontId="21" fillId="3" borderId="36" xfId="0" applyNumberFormat="1" applyFont="1" applyFill="1" applyBorder="1" applyAlignment="1" applyProtection="1">
      <alignment horizontal="right" vertical="top" wrapText="1" readingOrder="2"/>
      <protection locked="0"/>
    </xf>
    <xf numFmtId="1" fontId="22" fillId="0" borderId="0" xfId="0" applyNumberFormat="1" applyFont="1" applyAlignment="1">
      <alignment horizontal="center" vertical="center" readingOrder="2"/>
    </xf>
    <xf numFmtId="164" fontId="24" fillId="3" borderId="32" xfId="0" applyNumberFormat="1" applyFont="1" applyFill="1" applyBorder="1" applyAlignment="1" applyProtection="1">
      <alignment horizontal="right" vertical="top" wrapText="1" readingOrder="2"/>
      <protection locked="0"/>
    </xf>
    <xf numFmtId="164" fontId="24" fillId="3" borderId="33" xfId="0" applyNumberFormat="1" applyFont="1" applyFill="1" applyBorder="1" applyAlignment="1" applyProtection="1">
      <alignment horizontal="right" vertical="top" wrapText="1" readingOrder="2"/>
      <protection locked="0"/>
    </xf>
    <xf numFmtId="164" fontId="24" fillId="3" borderId="34" xfId="0" applyNumberFormat="1" applyFont="1" applyFill="1" applyBorder="1" applyAlignment="1" applyProtection="1">
      <alignment horizontal="right" vertical="top" wrapText="1" readingOrder="2"/>
      <protection locked="0"/>
    </xf>
    <xf numFmtId="164" fontId="21" fillId="0" borderId="0" xfId="0" applyNumberFormat="1" applyFont="1" applyAlignment="1">
      <alignment horizontal="right" readingOrder="2"/>
    </xf>
    <xf numFmtId="164" fontId="20" fillId="0" borderId="0" xfId="0" applyNumberFormat="1" applyFont="1" applyAlignment="1">
      <alignment horizontal="right" readingOrder="2"/>
    </xf>
    <xf numFmtId="164" fontId="21" fillId="0" borderId="74" xfId="0" applyNumberFormat="1" applyFont="1" applyBorder="1" applyAlignment="1">
      <alignment horizontal="right" readingOrder="2"/>
    </xf>
    <xf numFmtId="164" fontId="21" fillId="0" borderId="74" xfId="0" applyNumberFormat="1" applyFont="1" applyBorder="1" applyAlignment="1" applyProtection="1">
      <alignment horizontal="right" readingOrder="2"/>
      <protection locked="0"/>
    </xf>
    <xf numFmtId="164" fontId="20" fillId="0" borderId="6" xfId="0" applyNumberFormat="1" applyFont="1" applyBorder="1" applyAlignment="1">
      <alignment horizontal="center" readingOrder="2"/>
    </xf>
    <xf numFmtId="164" fontId="21" fillId="3" borderId="42" xfId="0" applyNumberFormat="1" applyFont="1" applyFill="1" applyBorder="1" applyAlignment="1" applyProtection="1">
      <alignment horizontal="right" vertical="center" wrapText="1"/>
      <protection locked="0"/>
    </xf>
    <xf numFmtId="164" fontId="21" fillId="3" borderId="43" xfId="0" applyNumberFormat="1" applyFont="1" applyFill="1" applyBorder="1" applyAlignment="1" applyProtection="1">
      <alignment horizontal="right" vertical="center" wrapText="1"/>
      <protection locked="0"/>
    </xf>
    <xf numFmtId="164" fontId="21" fillId="3" borderId="44" xfId="0" applyNumberFormat="1" applyFont="1" applyFill="1" applyBorder="1" applyAlignment="1" applyProtection="1">
      <alignment horizontal="right" vertical="center" wrapText="1"/>
      <protection locked="0"/>
    </xf>
    <xf numFmtId="164" fontId="20" fillId="0" borderId="0" xfId="0" applyNumberFormat="1" applyFont="1" applyAlignment="1">
      <alignment horizontal="center" wrapText="1"/>
    </xf>
    <xf numFmtId="164" fontId="20" fillId="0" borderId="53" xfId="0" applyNumberFormat="1" applyFont="1" applyBorder="1" applyAlignment="1">
      <alignment horizontal="center"/>
    </xf>
    <xf numFmtId="164" fontId="29" fillId="0" borderId="0" xfId="0" applyNumberFormat="1" applyFont="1" applyAlignment="1">
      <alignment horizontal="right" vertical="top"/>
    </xf>
    <xf numFmtId="0" fontId="56" fillId="0" borderId="0" xfId="0" applyFont="1" applyAlignment="1">
      <alignment horizontal="right" vertical="top"/>
    </xf>
    <xf numFmtId="164" fontId="29" fillId="0" borderId="0" xfId="0" applyNumberFormat="1" applyFont="1" applyAlignment="1">
      <alignment horizontal="right" vertical="center"/>
    </xf>
    <xf numFmtId="0" fontId="56" fillId="0" borderId="0" xfId="0" applyFont="1" applyAlignment="1">
      <alignment horizontal="right" vertical="center"/>
    </xf>
    <xf numFmtId="164" fontId="22" fillId="0" borderId="0" xfId="0" applyNumberFormat="1" applyFont="1" applyAlignment="1">
      <alignment horizontal="right" vertical="center" readingOrder="2"/>
    </xf>
    <xf numFmtId="164" fontId="20" fillId="0" borderId="53" xfId="0" applyNumberFormat="1" applyFont="1" applyBorder="1" applyAlignment="1">
      <alignment horizontal="center" wrapText="1"/>
    </xf>
    <xf numFmtId="164" fontId="21" fillId="3" borderId="0" xfId="0" applyNumberFormat="1" applyFont="1" applyFill="1" applyAlignment="1" applyProtection="1">
      <alignment horizontal="right" vertical="top" readingOrder="2"/>
      <protection locked="0"/>
    </xf>
    <xf numFmtId="164" fontId="20" fillId="5" borderId="0" xfId="0" applyNumberFormat="1" applyFont="1" applyFill="1" applyAlignment="1">
      <alignment horizontal="center"/>
    </xf>
    <xf numFmtId="0" fontId="33" fillId="5" borderId="0" xfId="0" applyFont="1" applyFill="1" applyAlignment="1">
      <alignment horizontal="center"/>
    </xf>
    <xf numFmtId="164" fontId="21" fillId="3" borderId="41" xfId="0" applyNumberFormat="1" applyFont="1" applyFill="1" applyBorder="1" applyAlignment="1" applyProtection="1">
      <alignment horizontal="right" vertical="top" readingOrder="2"/>
      <protection locked="0"/>
    </xf>
    <xf numFmtId="164" fontId="20" fillId="0" borderId="0" xfId="0" applyNumberFormat="1" applyFont="1" applyAlignment="1">
      <alignment horizontal="center" vertical="center"/>
    </xf>
    <xf numFmtId="164" fontId="21" fillId="3" borderId="42" xfId="0" applyNumberFormat="1" applyFont="1" applyFill="1" applyBorder="1" applyAlignment="1" applyProtection="1">
      <alignment horizontal="right" vertical="top" wrapText="1" readingOrder="2"/>
      <protection locked="0"/>
    </xf>
    <xf numFmtId="164" fontId="21" fillId="3" borderId="43" xfId="0" applyNumberFormat="1" applyFont="1" applyFill="1" applyBorder="1" applyAlignment="1" applyProtection="1">
      <alignment horizontal="right" vertical="top" readingOrder="2"/>
      <protection locked="0"/>
    </xf>
    <xf numFmtId="164" fontId="21" fillId="3" borderId="44" xfId="0" applyNumberFormat="1" applyFont="1" applyFill="1" applyBorder="1" applyAlignment="1" applyProtection="1">
      <alignment horizontal="right" vertical="top" readingOrder="2"/>
      <protection locked="0"/>
    </xf>
    <xf numFmtId="164" fontId="21" fillId="0" borderId="0" xfId="0" applyNumberFormat="1" applyFont="1" applyAlignment="1">
      <alignment horizontal="right"/>
    </xf>
    <xf numFmtId="164" fontId="21" fillId="0" borderId="0" xfId="0" applyNumberFormat="1" applyFont="1" applyAlignment="1">
      <alignment horizontal="right" wrapText="1" readingOrder="2"/>
    </xf>
    <xf numFmtId="164" fontId="21" fillId="0" borderId="0" xfId="0" applyNumberFormat="1" applyFont="1" applyAlignment="1">
      <alignment horizontal="right" vertical="top" wrapText="1"/>
    </xf>
    <xf numFmtId="164" fontId="21" fillId="3" borderId="61" xfId="0" applyNumberFormat="1" applyFont="1" applyFill="1" applyBorder="1" applyAlignment="1" applyProtection="1">
      <alignment horizontal="right" vertical="top" wrapText="1" readingOrder="2"/>
      <protection locked="0"/>
    </xf>
    <xf numFmtId="164" fontId="21" fillId="3" borderId="50" xfId="0" applyNumberFormat="1" applyFont="1" applyFill="1" applyBorder="1" applyAlignment="1" applyProtection="1">
      <alignment horizontal="right" vertical="top" wrapText="1" readingOrder="2"/>
      <protection locked="0"/>
    </xf>
    <xf numFmtId="164" fontId="21" fillId="3" borderId="51" xfId="0" applyNumberFormat="1" applyFont="1" applyFill="1" applyBorder="1" applyAlignment="1" applyProtection="1">
      <alignment horizontal="right" vertical="top" wrapText="1" readingOrder="2"/>
      <protection locked="0"/>
    </xf>
    <xf numFmtId="164" fontId="21" fillId="3" borderId="62" xfId="0" applyNumberFormat="1" applyFont="1" applyFill="1" applyBorder="1" applyAlignment="1" applyProtection="1">
      <alignment horizontal="right" vertical="top" wrapText="1" readingOrder="2"/>
      <protection locked="0"/>
    </xf>
    <xf numFmtId="164" fontId="21" fillId="3" borderId="63" xfId="0" applyNumberFormat="1" applyFont="1" applyFill="1" applyBorder="1" applyAlignment="1" applyProtection="1">
      <alignment horizontal="right" vertical="top" wrapText="1" readingOrder="2"/>
      <protection locked="0"/>
    </xf>
    <xf numFmtId="164" fontId="21" fillId="3" borderId="64" xfId="0" applyNumberFormat="1" applyFont="1" applyFill="1" applyBorder="1" applyAlignment="1" applyProtection="1">
      <alignment horizontal="right" vertical="top" wrapText="1" readingOrder="2"/>
      <protection locked="0"/>
    </xf>
    <xf numFmtId="164" fontId="21" fillId="3" borderId="65" xfId="0" applyNumberFormat="1" applyFont="1" applyFill="1" applyBorder="1" applyAlignment="1" applyProtection="1">
      <alignment horizontal="right" vertical="top" wrapText="1" readingOrder="2"/>
      <protection locked="0"/>
    </xf>
    <xf numFmtId="164" fontId="21" fillId="3" borderId="66" xfId="0" applyNumberFormat="1" applyFont="1" applyFill="1" applyBorder="1" applyAlignment="1" applyProtection="1">
      <alignment horizontal="right" vertical="top" wrapText="1" readingOrder="2"/>
      <protection locked="0"/>
    </xf>
    <xf numFmtId="164" fontId="21" fillId="3" borderId="32" xfId="0" applyNumberFormat="1" applyFont="1" applyFill="1" applyBorder="1" applyAlignment="1" applyProtection="1">
      <alignment horizontal="right" vertical="top" wrapText="1"/>
      <protection locked="0"/>
    </xf>
    <xf numFmtId="164" fontId="21" fillId="3" borderId="33" xfId="0" applyNumberFormat="1" applyFont="1" applyFill="1" applyBorder="1" applyAlignment="1" applyProtection="1">
      <alignment horizontal="right" vertical="top" wrapText="1"/>
      <protection locked="0"/>
    </xf>
    <xf numFmtId="164" fontId="21" fillId="3" borderId="34" xfId="0" applyNumberFormat="1" applyFont="1" applyFill="1" applyBorder="1" applyAlignment="1" applyProtection="1">
      <alignment horizontal="right" vertical="top" wrapText="1"/>
      <protection locked="0"/>
    </xf>
    <xf numFmtId="164" fontId="21" fillId="3" borderId="35" xfId="0" applyNumberFormat="1" applyFont="1" applyFill="1" applyBorder="1" applyAlignment="1" applyProtection="1">
      <alignment horizontal="right" vertical="top" wrapText="1"/>
      <protection locked="0"/>
    </xf>
    <xf numFmtId="164" fontId="21" fillId="3" borderId="36" xfId="0" applyNumberFormat="1" applyFont="1" applyFill="1" applyBorder="1" applyAlignment="1" applyProtection="1">
      <alignment horizontal="right" vertical="top" wrapText="1"/>
      <protection locked="0"/>
    </xf>
    <xf numFmtId="164" fontId="21" fillId="3" borderId="37" xfId="0" applyNumberFormat="1" applyFont="1" applyFill="1" applyBorder="1" applyAlignment="1" applyProtection="1">
      <alignment horizontal="right" vertical="top" wrapText="1"/>
      <protection locked="0"/>
    </xf>
    <xf numFmtId="164" fontId="21" fillId="3" borderId="38" xfId="0" applyNumberFormat="1" applyFont="1" applyFill="1" applyBorder="1" applyAlignment="1" applyProtection="1">
      <alignment horizontal="right" vertical="top" wrapText="1"/>
      <protection locked="0"/>
    </xf>
    <xf numFmtId="164" fontId="21" fillId="3" borderId="39" xfId="0" applyNumberFormat="1" applyFont="1" applyFill="1" applyBorder="1" applyAlignment="1" applyProtection="1">
      <alignment horizontal="right" vertical="top" wrapText="1"/>
      <protection locked="0"/>
    </xf>
    <xf numFmtId="164" fontId="21" fillId="3" borderId="37" xfId="0" applyNumberFormat="1" applyFont="1" applyFill="1" applyBorder="1" applyAlignment="1" applyProtection="1">
      <alignment horizontal="right" vertical="top" wrapText="1" readingOrder="2"/>
      <protection locked="0"/>
    </xf>
    <xf numFmtId="164" fontId="21" fillId="3" borderId="38" xfId="0" applyNumberFormat="1" applyFont="1" applyFill="1" applyBorder="1" applyAlignment="1" applyProtection="1">
      <alignment horizontal="right" vertical="top" wrapText="1" readingOrder="2"/>
      <protection locked="0"/>
    </xf>
    <xf numFmtId="164" fontId="21" fillId="3" borderId="39" xfId="0" applyNumberFormat="1" applyFont="1" applyFill="1" applyBorder="1" applyAlignment="1" applyProtection="1">
      <alignment horizontal="right" vertical="top" wrapText="1" readingOrder="2"/>
      <protection locked="0"/>
    </xf>
    <xf numFmtId="0" fontId="24" fillId="3" borderId="33" xfId="0" applyFont="1" applyFill="1" applyBorder="1" applyAlignment="1" applyProtection="1">
      <alignment horizontal="right" wrapText="1"/>
      <protection locked="0"/>
    </xf>
    <xf numFmtId="0" fontId="24" fillId="3" borderId="34" xfId="0" applyFont="1" applyFill="1" applyBorder="1" applyAlignment="1" applyProtection="1">
      <alignment horizontal="right" wrapText="1"/>
      <protection locked="0"/>
    </xf>
    <xf numFmtId="0" fontId="24" fillId="3" borderId="35" xfId="0" applyFont="1" applyFill="1" applyBorder="1" applyAlignment="1" applyProtection="1">
      <alignment horizontal="right" wrapText="1"/>
      <protection locked="0"/>
    </xf>
    <xf numFmtId="0" fontId="24" fillId="3" borderId="0" xfId="0" applyFont="1" applyFill="1" applyAlignment="1" applyProtection="1">
      <alignment horizontal="right" wrapText="1"/>
      <protection locked="0"/>
    </xf>
    <xf numFmtId="0" fontId="24" fillId="3" borderId="36" xfId="0" applyFont="1" applyFill="1" applyBorder="1" applyAlignment="1" applyProtection="1">
      <alignment horizontal="right" wrapText="1"/>
      <protection locked="0"/>
    </xf>
    <xf numFmtId="0" fontId="24" fillId="3" borderId="37" xfId="0" applyFont="1" applyFill="1" applyBorder="1" applyAlignment="1" applyProtection="1">
      <alignment horizontal="right" wrapText="1"/>
      <protection locked="0"/>
    </xf>
    <xf numFmtId="0" fontId="24" fillId="3" borderId="38" xfId="0" applyFont="1" applyFill="1" applyBorder="1" applyAlignment="1" applyProtection="1">
      <alignment horizontal="right" wrapText="1"/>
      <protection locked="0"/>
    </xf>
    <xf numFmtId="0" fontId="24" fillId="3" borderId="39" xfId="0" applyFont="1" applyFill="1" applyBorder="1" applyAlignment="1" applyProtection="1">
      <alignment horizontal="right" wrapText="1"/>
      <protection locked="0"/>
    </xf>
    <xf numFmtId="0" fontId="21" fillId="0" borderId="0" xfId="0" applyFont="1" applyAlignment="1" applyProtection="1">
      <alignment horizontal="center" vertical="top" wrapText="1"/>
      <protection locked="0"/>
    </xf>
    <xf numFmtId="0" fontId="21" fillId="3" borderId="61" xfId="0" applyFont="1" applyFill="1" applyBorder="1" applyAlignment="1" applyProtection="1">
      <alignment horizontal="right" vertical="top" wrapText="1"/>
      <protection locked="0"/>
    </xf>
    <xf numFmtId="0" fontId="21" fillId="3" borderId="50" xfId="0" applyFont="1" applyFill="1" applyBorder="1" applyAlignment="1" applyProtection="1">
      <alignment horizontal="right" vertical="top" wrapText="1"/>
      <protection locked="0"/>
    </xf>
    <xf numFmtId="0" fontId="21" fillId="3" borderId="51" xfId="0" applyFont="1" applyFill="1" applyBorder="1" applyAlignment="1" applyProtection="1">
      <alignment horizontal="right" vertical="top" wrapText="1"/>
      <protection locked="0"/>
    </xf>
    <xf numFmtId="0" fontId="21" fillId="3" borderId="62" xfId="0" applyFont="1" applyFill="1" applyBorder="1" applyAlignment="1" applyProtection="1">
      <alignment horizontal="right" vertical="top" wrapText="1"/>
      <protection locked="0"/>
    </xf>
    <xf numFmtId="0" fontId="21" fillId="3" borderId="0" xfId="0" applyFont="1" applyFill="1" applyAlignment="1" applyProtection="1">
      <alignment horizontal="right" vertical="top" wrapText="1"/>
      <protection locked="0"/>
    </xf>
    <xf numFmtId="0" fontId="21" fillId="3" borderId="63" xfId="0" applyFont="1" applyFill="1" applyBorder="1" applyAlignment="1" applyProtection="1">
      <alignment horizontal="right" vertical="top" wrapText="1"/>
      <protection locked="0"/>
    </xf>
    <xf numFmtId="0" fontId="21" fillId="3" borderId="64" xfId="0" applyFont="1" applyFill="1" applyBorder="1" applyAlignment="1" applyProtection="1">
      <alignment horizontal="right" vertical="top" wrapText="1"/>
      <protection locked="0"/>
    </xf>
    <xf numFmtId="0" fontId="21" fillId="3" borderId="65" xfId="0" applyFont="1" applyFill="1" applyBorder="1" applyAlignment="1" applyProtection="1">
      <alignment horizontal="right" vertical="top" wrapText="1"/>
      <protection locked="0"/>
    </xf>
    <xf numFmtId="0" fontId="21" fillId="3" borderId="66" xfId="0" applyFont="1" applyFill="1" applyBorder="1" applyAlignment="1" applyProtection="1">
      <alignment horizontal="right" vertical="top" wrapText="1"/>
      <protection locked="0"/>
    </xf>
    <xf numFmtId="0" fontId="21" fillId="0" borderId="55" xfId="0" applyFont="1" applyBorder="1" applyAlignment="1">
      <alignment horizontal="center" vertical="center" wrapText="1"/>
    </xf>
    <xf numFmtId="0" fontId="22" fillId="0" borderId="55" xfId="0" applyFont="1" applyBorder="1" applyAlignment="1">
      <alignment horizontal="right" wrapText="1"/>
    </xf>
    <xf numFmtId="0" fontId="22" fillId="0" borderId="0" xfId="0" applyFont="1" applyAlignment="1">
      <alignment horizontal="right" wrapText="1"/>
    </xf>
    <xf numFmtId="2" fontId="21" fillId="0" borderId="0" xfId="0" applyNumberFormat="1" applyFont="1" applyAlignment="1">
      <alignment horizontal="center"/>
    </xf>
    <xf numFmtId="0" fontId="20" fillId="6" borderId="0" xfId="5" applyFont="1" applyFill="1" applyAlignment="1">
      <alignment horizontal="center" vertical="center" wrapText="1" readingOrder="2"/>
    </xf>
    <xf numFmtId="0" fontId="20" fillId="0" borderId="0" xfId="0" applyFont="1" applyAlignment="1">
      <alignment horizontal="right" vertical="top" wrapText="1" readingOrder="2"/>
    </xf>
    <xf numFmtId="0" fontId="21" fillId="3" borderId="32" xfId="0" applyFont="1" applyFill="1" applyBorder="1" applyAlignment="1" applyProtection="1">
      <alignment horizontal="right" vertical="top"/>
      <protection locked="0"/>
    </xf>
    <xf numFmtId="0" fontId="21" fillId="3" borderId="33" xfId="0" applyFont="1" applyFill="1" applyBorder="1" applyAlignment="1" applyProtection="1">
      <alignment horizontal="right" vertical="top"/>
      <protection locked="0"/>
    </xf>
    <xf numFmtId="0" fontId="21" fillId="3" borderId="34" xfId="0" applyFont="1" applyFill="1" applyBorder="1" applyAlignment="1" applyProtection="1">
      <alignment horizontal="right" vertical="top"/>
      <protection locked="0"/>
    </xf>
    <xf numFmtId="0" fontId="21" fillId="3" borderId="35" xfId="0" applyFont="1" applyFill="1" applyBorder="1" applyAlignment="1" applyProtection="1">
      <alignment horizontal="right" vertical="top"/>
      <protection locked="0"/>
    </xf>
    <xf numFmtId="0" fontId="21" fillId="3" borderId="0" xfId="0" applyFont="1" applyFill="1" applyAlignment="1" applyProtection="1">
      <alignment horizontal="right" vertical="top"/>
      <protection locked="0"/>
    </xf>
    <xf numFmtId="0" fontId="21" fillId="3" borderId="36" xfId="0" applyFont="1" applyFill="1" applyBorder="1" applyAlignment="1" applyProtection="1">
      <alignment horizontal="right" vertical="top"/>
      <protection locked="0"/>
    </xf>
    <xf numFmtId="0" fontId="21" fillId="3" borderId="37" xfId="0" applyFont="1" applyFill="1" applyBorder="1" applyAlignment="1" applyProtection="1">
      <alignment horizontal="right" vertical="top"/>
      <protection locked="0"/>
    </xf>
    <xf numFmtId="0" fontId="21" fillId="3" borderId="38" xfId="0" applyFont="1" applyFill="1" applyBorder="1" applyAlignment="1" applyProtection="1">
      <alignment horizontal="right" vertical="top"/>
      <protection locked="0"/>
    </xf>
    <xf numFmtId="0" fontId="21" fillId="3" borderId="39" xfId="0" applyFont="1" applyFill="1" applyBorder="1" applyAlignment="1" applyProtection="1">
      <alignment horizontal="right" vertical="top"/>
      <protection locked="0"/>
    </xf>
    <xf numFmtId="0" fontId="20" fillId="0" borderId="55" xfId="5" applyFont="1" applyBorder="1" applyAlignment="1">
      <alignment horizontal="center" vertical="top" readingOrder="2"/>
    </xf>
    <xf numFmtId="0" fontId="20" fillId="0" borderId="0" xfId="5" applyFont="1" applyAlignment="1">
      <alignment horizontal="center" vertical="top" readingOrder="2"/>
    </xf>
    <xf numFmtId="0" fontId="22" fillId="0" borderId="0" xfId="5" applyFont="1" applyAlignment="1">
      <alignment horizontal="center" vertical="center" wrapText="1" readingOrder="2"/>
    </xf>
    <xf numFmtId="0" fontId="22" fillId="0" borderId="0" xfId="0" applyFont="1" applyAlignment="1">
      <alignment horizontal="right" vertical="top" wrapText="1" readingOrder="2"/>
    </xf>
    <xf numFmtId="164" fontId="22" fillId="0" borderId="0" xfId="0" applyNumberFormat="1" applyFont="1" applyAlignment="1">
      <alignment horizontal="center" vertical="center" wrapText="1"/>
    </xf>
    <xf numFmtId="164" fontId="22" fillId="0" borderId="65" xfId="0" applyNumberFormat="1" applyFont="1" applyBorder="1" applyAlignment="1">
      <alignment horizontal="center" vertical="center" wrapText="1"/>
    </xf>
    <xf numFmtId="164" fontId="21" fillId="0" borderId="50" xfId="0" applyNumberFormat="1" applyFont="1" applyBorder="1" applyAlignment="1">
      <alignment horizontal="center" vertical="top" wrapText="1"/>
    </xf>
    <xf numFmtId="164" fontId="21" fillId="0" borderId="0" xfId="0" applyNumberFormat="1" applyFont="1" applyAlignment="1">
      <alignment horizontal="center" vertical="top" wrapText="1"/>
    </xf>
    <xf numFmtId="164" fontId="21" fillId="0" borderId="65" xfId="0" applyNumberFormat="1" applyFont="1" applyBorder="1" applyAlignment="1">
      <alignment horizontal="center" vertical="top" wrapText="1"/>
    </xf>
    <xf numFmtId="164" fontId="21" fillId="3" borderId="0" xfId="0" applyNumberFormat="1" applyFont="1" applyFill="1" applyAlignment="1" applyProtection="1">
      <alignment horizontal="center" vertical="top" wrapText="1"/>
      <protection locked="0"/>
    </xf>
    <xf numFmtId="164" fontId="21" fillId="3" borderId="65" xfId="0" applyNumberFormat="1" applyFont="1" applyFill="1" applyBorder="1" applyAlignment="1" applyProtection="1">
      <alignment horizontal="center" vertical="top" wrapText="1"/>
      <protection locked="0"/>
    </xf>
    <xf numFmtId="164" fontId="22" fillId="0" borderId="50" xfId="0" applyNumberFormat="1" applyFont="1" applyBorder="1" applyAlignment="1">
      <alignment horizontal="center" vertical="center" wrapText="1"/>
    </xf>
    <xf numFmtId="164" fontId="21" fillId="3" borderId="50" xfId="0" applyNumberFormat="1" applyFont="1" applyFill="1" applyBorder="1" applyAlignment="1" applyProtection="1">
      <alignment horizontal="center" vertical="top" wrapText="1"/>
      <protection locked="0"/>
    </xf>
    <xf numFmtId="164" fontId="20" fillId="5" borderId="0" xfId="0" applyNumberFormat="1" applyFont="1" applyFill="1" applyAlignment="1">
      <alignment horizontal="center" vertical="center"/>
    </xf>
    <xf numFmtId="164" fontId="20" fillId="5" borderId="0" xfId="0" applyNumberFormat="1" applyFont="1" applyFill="1" applyAlignment="1">
      <alignment horizontal="center" vertical="top" wrapText="1"/>
    </xf>
    <xf numFmtId="164" fontId="20" fillId="0" borderId="0" xfId="0" applyNumberFormat="1" applyFont="1" applyAlignment="1">
      <alignment horizontal="center" vertical="top" wrapText="1"/>
    </xf>
  </cellXfs>
  <cellStyles count="8">
    <cellStyle name="Comma" xfId="1" builtinId="3"/>
    <cellStyle name="Normal" xfId="0" builtinId="0"/>
    <cellStyle name="Normal 2" xfId="7" xr:uid="{00000000-0005-0000-0000-000002000000}"/>
    <cellStyle name="Normal 5" xfId="5" xr:uid="{00000000-0005-0000-0000-000003000000}"/>
    <cellStyle name="Percent" xfId="2" builtinId="5"/>
    <cellStyle name="היפר-קישור" xfId="4" builtinId="8"/>
    <cellStyle name="היפר-קישור 2" xfId="6" xr:uid="{00000000-0005-0000-0000-000006000000}"/>
    <cellStyle name="כותרת 3" xfId="3" builtinId="18"/>
  </cellStyles>
  <dxfs count="1">
    <dxf>
      <fill>
        <patternFill>
          <bgColor rgb="FFFF7C80"/>
        </patternFill>
      </fill>
    </dxf>
  </dxfs>
  <tableStyles count="0" defaultTableStyle="TableStyleMedium2"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0</xdr:row>
      <xdr:rowOff>123825</xdr:rowOff>
    </xdr:from>
    <xdr:to>
      <xdr:col>6</xdr:col>
      <xdr:colOff>479424</xdr:colOff>
      <xdr:row>1</xdr:row>
      <xdr:rowOff>200024</xdr:rowOff>
    </xdr:to>
    <xdr:pic>
      <xdr:nvPicPr>
        <xdr:cNvPr id="4" name="Picture 3">
          <a:extLst>
            <a:ext uri="{FF2B5EF4-FFF2-40B4-BE49-F238E27FC236}">
              <a16:creationId xmlns:a16="http://schemas.microsoft.com/office/drawing/2014/main" id="{FD46AB1D-5049-4623-ABD4-D80FA8D9C6C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549376" y="123825"/>
          <a:ext cx="1431924" cy="409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3175</xdr:colOff>
      <xdr:row>0</xdr:row>
      <xdr:rowOff>74386</xdr:rowOff>
    </xdr:from>
    <xdr:to>
      <xdr:col>10</xdr:col>
      <xdr:colOff>446578</xdr:colOff>
      <xdr:row>2</xdr:row>
      <xdr:rowOff>22597</xdr:rowOff>
    </xdr:to>
    <xdr:pic>
      <xdr:nvPicPr>
        <xdr:cNvPr id="3" name="Picture 2">
          <a:extLst>
            <a:ext uri="{FF2B5EF4-FFF2-40B4-BE49-F238E27FC236}">
              <a16:creationId xmlns:a16="http://schemas.microsoft.com/office/drawing/2014/main" id="{45957909-1300-4478-ABF9-491BDCB8335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289871" y="74386"/>
          <a:ext cx="1434004" cy="6004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765175</xdr:colOff>
      <xdr:row>0</xdr:row>
      <xdr:rowOff>219529</xdr:rowOff>
    </xdr:from>
    <xdr:to>
      <xdr:col>9</xdr:col>
      <xdr:colOff>1118930</xdr:colOff>
      <xdr:row>2</xdr:row>
      <xdr:rowOff>38926</xdr:rowOff>
    </xdr:to>
    <xdr:pic>
      <xdr:nvPicPr>
        <xdr:cNvPr id="3" name="Picture 2">
          <a:extLst>
            <a:ext uri="{FF2B5EF4-FFF2-40B4-BE49-F238E27FC236}">
              <a16:creationId xmlns:a16="http://schemas.microsoft.com/office/drawing/2014/main" id="{504CD23A-1AE9-43A3-B22A-83BD329D8F4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019422" y="219529"/>
          <a:ext cx="1441260" cy="599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1279070</xdr:colOff>
      <xdr:row>0</xdr:row>
      <xdr:rowOff>145143</xdr:rowOff>
    </xdr:from>
    <xdr:to>
      <xdr:col>14</xdr:col>
      <xdr:colOff>1268901</xdr:colOff>
      <xdr:row>1</xdr:row>
      <xdr:rowOff>354612</xdr:rowOff>
    </xdr:to>
    <xdr:pic>
      <xdr:nvPicPr>
        <xdr:cNvPr id="4" name="Picture 2">
          <a:extLst>
            <a:ext uri="{FF2B5EF4-FFF2-40B4-BE49-F238E27FC236}">
              <a16:creationId xmlns:a16="http://schemas.microsoft.com/office/drawing/2014/main" id="{8D27CD43-7AFA-484A-B299-EF779BB0B5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8573313" y="145143"/>
          <a:ext cx="1441260" cy="599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27</xdr:col>
      <xdr:colOff>774246</xdr:colOff>
      <xdr:row>0</xdr:row>
      <xdr:rowOff>119744</xdr:rowOff>
    </xdr:from>
    <xdr:to>
      <xdr:col>29</xdr:col>
      <xdr:colOff>855518</xdr:colOff>
      <xdr:row>1</xdr:row>
      <xdr:rowOff>326129</xdr:rowOff>
    </xdr:to>
    <xdr:pic>
      <xdr:nvPicPr>
        <xdr:cNvPr id="3" name="Picture 2">
          <a:extLst>
            <a:ext uri="{FF2B5EF4-FFF2-40B4-BE49-F238E27FC236}">
              <a16:creationId xmlns:a16="http://schemas.microsoft.com/office/drawing/2014/main" id="{F37BDE86-13EC-4CF8-BE9A-F9F6B85228F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9612100" y="119744"/>
          <a:ext cx="1436725" cy="6040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486833</xdr:colOff>
      <xdr:row>0</xdr:row>
      <xdr:rowOff>148167</xdr:rowOff>
    </xdr:from>
    <xdr:to>
      <xdr:col>15</xdr:col>
      <xdr:colOff>431308</xdr:colOff>
      <xdr:row>2</xdr:row>
      <xdr:rowOff>21993</xdr:rowOff>
    </xdr:to>
    <xdr:pic>
      <xdr:nvPicPr>
        <xdr:cNvPr id="4" name="Picture 2">
          <a:extLst>
            <a:ext uri="{FF2B5EF4-FFF2-40B4-BE49-F238E27FC236}">
              <a16:creationId xmlns:a16="http://schemas.microsoft.com/office/drawing/2014/main" id="{60A23587-C678-47B1-A01A-E60B57077A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7713442" y="148167"/>
          <a:ext cx="1436725" cy="6040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765629</xdr:colOff>
      <xdr:row>0</xdr:row>
      <xdr:rowOff>166007</xdr:rowOff>
    </xdr:from>
    <xdr:to>
      <xdr:col>9</xdr:col>
      <xdr:colOff>1051831</xdr:colOff>
      <xdr:row>1</xdr:row>
      <xdr:rowOff>381906</xdr:rowOff>
    </xdr:to>
    <xdr:pic>
      <xdr:nvPicPr>
        <xdr:cNvPr id="3" name="Picture 2">
          <a:extLst>
            <a:ext uri="{FF2B5EF4-FFF2-40B4-BE49-F238E27FC236}">
              <a16:creationId xmlns:a16="http://schemas.microsoft.com/office/drawing/2014/main" id="{AE02C27E-0312-4EC7-AC7A-39A60679798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205319" y="166007"/>
          <a:ext cx="1429202" cy="6095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765629</xdr:colOff>
      <xdr:row>0</xdr:row>
      <xdr:rowOff>166007</xdr:rowOff>
    </xdr:from>
    <xdr:to>
      <xdr:col>9</xdr:col>
      <xdr:colOff>804181</xdr:colOff>
      <xdr:row>2</xdr:row>
      <xdr:rowOff>121556</xdr:rowOff>
    </xdr:to>
    <xdr:pic>
      <xdr:nvPicPr>
        <xdr:cNvPr id="5" name="Picture 2">
          <a:extLst>
            <a:ext uri="{FF2B5EF4-FFF2-40B4-BE49-F238E27FC236}">
              <a16:creationId xmlns:a16="http://schemas.microsoft.com/office/drawing/2014/main" id="{36F7CF50-5976-40EB-AD76-36E9550EE60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505462" y="166007"/>
          <a:ext cx="1435552" cy="60869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400505</xdr:colOff>
      <xdr:row>0</xdr:row>
      <xdr:rowOff>222250</xdr:rowOff>
    </xdr:from>
    <xdr:to>
      <xdr:col>5</xdr:col>
      <xdr:colOff>1824263</xdr:colOff>
      <xdr:row>2</xdr:row>
      <xdr:rowOff>67128</xdr:rowOff>
    </xdr:to>
    <xdr:pic>
      <xdr:nvPicPr>
        <xdr:cNvPr id="3" name="Picture 2">
          <a:extLst>
            <a:ext uri="{FF2B5EF4-FFF2-40B4-BE49-F238E27FC236}">
              <a16:creationId xmlns:a16="http://schemas.microsoft.com/office/drawing/2014/main" id="{F75ED4EE-3762-468A-913C-513991B64FA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0757987" y="222250"/>
          <a:ext cx="1423758" cy="60687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14</xdr:col>
      <xdr:colOff>466497</xdr:colOff>
      <xdr:row>0</xdr:row>
      <xdr:rowOff>109992</xdr:rowOff>
    </xdr:from>
    <xdr:to>
      <xdr:col>14</xdr:col>
      <xdr:colOff>1889532</xdr:colOff>
      <xdr:row>1</xdr:row>
      <xdr:rowOff>310389</xdr:rowOff>
    </xdr:to>
    <xdr:pic>
      <xdr:nvPicPr>
        <xdr:cNvPr id="3" name="Picture 2">
          <a:extLst>
            <a:ext uri="{FF2B5EF4-FFF2-40B4-BE49-F238E27FC236}">
              <a16:creationId xmlns:a16="http://schemas.microsoft.com/office/drawing/2014/main" id="{5286B473-6993-4DD8-85C9-A865B080F1C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3597650" y="109992"/>
          <a:ext cx="1440353" cy="597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104775</xdr:rowOff>
    </xdr:from>
    <xdr:to>
      <xdr:col>6</xdr:col>
      <xdr:colOff>1517649</xdr:colOff>
      <xdr:row>1</xdr:row>
      <xdr:rowOff>180974</xdr:rowOff>
    </xdr:to>
    <xdr:pic>
      <xdr:nvPicPr>
        <xdr:cNvPr id="6" name="Picture 5">
          <a:extLst>
            <a:ext uri="{FF2B5EF4-FFF2-40B4-BE49-F238E27FC236}">
              <a16:creationId xmlns:a16="http://schemas.microsoft.com/office/drawing/2014/main" id="{5C638587-A7A5-49E2-8527-0562D51A1F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6845026" y="104775"/>
          <a:ext cx="1431924" cy="409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247650</xdr:colOff>
      <xdr:row>0</xdr:row>
      <xdr:rowOff>95250</xdr:rowOff>
    </xdr:from>
    <xdr:to>
      <xdr:col>6</xdr:col>
      <xdr:colOff>517524</xdr:colOff>
      <xdr:row>1</xdr:row>
      <xdr:rowOff>238124</xdr:rowOff>
    </xdr:to>
    <xdr:pic>
      <xdr:nvPicPr>
        <xdr:cNvPr id="21" name="Picture 20">
          <a:extLst>
            <a:ext uri="{FF2B5EF4-FFF2-40B4-BE49-F238E27FC236}">
              <a16:creationId xmlns:a16="http://schemas.microsoft.com/office/drawing/2014/main" id="{F5F0F230-7841-475A-852D-5C36072DBD2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511276" y="95250"/>
          <a:ext cx="1431924" cy="476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828675</xdr:colOff>
      <xdr:row>0</xdr:row>
      <xdr:rowOff>76200</xdr:rowOff>
    </xdr:from>
    <xdr:to>
      <xdr:col>8</xdr:col>
      <xdr:colOff>174624</xdr:colOff>
      <xdr:row>1</xdr:row>
      <xdr:rowOff>238124</xdr:rowOff>
    </xdr:to>
    <xdr:pic>
      <xdr:nvPicPr>
        <xdr:cNvPr id="3" name="Picture 2">
          <a:extLst>
            <a:ext uri="{FF2B5EF4-FFF2-40B4-BE49-F238E27FC236}">
              <a16:creationId xmlns:a16="http://schemas.microsoft.com/office/drawing/2014/main" id="{5FB313F1-7583-4579-8F54-8DEE5328F36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835001" y="76200"/>
          <a:ext cx="1431924" cy="476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0</xdr:row>
      <xdr:rowOff>142875</xdr:rowOff>
    </xdr:from>
    <xdr:to>
      <xdr:col>6</xdr:col>
      <xdr:colOff>1231899</xdr:colOff>
      <xdr:row>2</xdr:row>
      <xdr:rowOff>19049</xdr:rowOff>
    </xdr:to>
    <xdr:pic>
      <xdr:nvPicPr>
        <xdr:cNvPr id="4" name="Picture 3">
          <a:extLst>
            <a:ext uri="{FF2B5EF4-FFF2-40B4-BE49-F238E27FC236}">
              <a16:creationId xmlns:a16="http://schemas.microsoft.com/office/drawing/2014/main" id="{B839F6A6-41BD-43C0-B32E-4675575BDC6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520801" y="142875"/>
          <a:ext cx="1431924" cy="476249"/>
        </a:xfrm>
        <a:prstGeom prst="rect">
          <a:avLst/>
        </a:prstGeom>
      </xdr:spPr>
    </xdr:pic>
    <xdr:clientData/>
  </xdr:twoCellAnchor>
  <xdr:twoCellAnchor>
    <xdr:from>
      <xdr:col>4</xdr:col>
      <xdr:colOff>1073604</xdr:colOff>
      <xdr:row>20</xdr:row>
      <xdr:rowOff>175532</xdr:rowOff>
    </xdr:from>
    <xdr:to>
      <xdr:col>6</xdr:col>
      <xdr:colOff>1254579</xdr:colOff>
      <xdr:row>27</xdr:row>
      <xdr:rowOff>146957</xdr:rowOff>
    </xdr:to>
    <xdr:sp macro="" textlink="">
      <xdr:nvSpPr>
        <xdr:cNvPr id="5" name="TextBox 4">
          <a:extLst>
            <a:ext uri="{FF2B5EF4-FFF2-40B4-BE49-F238E27FC236}">
              <a16:creationId xmlns:a16="http://schemas.microsoft.com/office/drawing/2014/main" id="{7962A4BE-4E1C-49E2-9BBD-B3EDB47FDC70}"/>
            </a:ext>
          </a:extLst>
        </xdr:cNvPr>
        <xdr:cNvSpPr txBox="1"/>
      </xdr:nvSpPr>
      <xdr:spPr>
        <a:xfrm>
          <a:off x="10028066956" y="4815568"/>
          <a:ext cx="2847975"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2400" b="1">
              <a:solidFill>
                <a:schemeClr val="bg1">
                  <a:lumMod val="85000"/>
                </a:schemeClr>
              </a:solidFill>
              <a:latin typeface="Calibri" panose="020F0502020204030204" pitchFamily="34" charset="0"/>
              <a:cs typeface="Calibri" panose="020F0502020204030204" pitchFamily="34" charset="0"/>
            </a:rPr>
            <a:t>נא צרף</a:t>
          </a:r>
          <a:r>
            <a:rPr lang="he-IL" sz="2400" b="1" baseline="0">
              <a:solidFill>
                <a:schemeClr val="bg1">
                  <a:lumMod val="85000"/>
                </a:schemeClr>
              </a:solidFill>
              <a:latin typeface="Calibri" panose="020F0502020204030204" pitchFamily="34" charset="0"/>
              <a:cs typeface="Calibri" panose="020F0502020204030204" pitchFamily="34" charset="0"/>
            </a:rPr>
            <a:t> צילום מסך של חוות דעת רואה החשבון המבקר</a:t>
          </a:r>
          <a:endParaRPr lang="he-IL" sz="2400" b="1">
            <a:solidFill>
              <a:schemeClr val="bg1">
                <a:lumMod val="85000"/>
              </a:schemeClr>
            </a:solidFill>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839881</xdr:colOff>
      <xdr:row>0</xdr:row>
      <xdr:rowOff>87406</xdr:rowOff>
    </xdr:from>
    <xdr:to>
      <xdr:col>8</xdr:col>
      <xdr:colOff>967441</xdr:colOff>
      <xdr:row>2</xdr:row>
      <xdr:rowOff>49305</xdr:rowOff>
    </xdr:to>
    <xdr:pic>
      <xdr:nvPicPr>
        <xdr:cNvPr id="3" name="Picture 2">
          <a:extLst>
            <a:ext uri="{FF2B5EF4-FFF2-40B4-BE49-F238E27FC236}">
              <a16:creationId xmlns:a16="http://schemas.microsoft.com/office/drawing/2014/main" id="{56E99991-2320-49B7-9C6A-BB536847CFA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8371912" y="87406"/>
          <a:ext cx="1427442" cy="611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333375</xdr:colOff>
      <xdr:row>0</xdr:row>
      <xdr:rowOff>112486</xdr:rowOff>
    </xdr:from>
    <xdr:to>
      <xdr:col>15</xdr:col>
      <xdr:colOff>799191</xdr:colOff>
      <xdr:row>2</xdr:row>
      <xdr:rowOff>102960</xdr:rowOff>
    </xdr:to>
    <xdr:pic>
      <xdr:nvPicPr>
        <xdr:cNvPr id="3" name="Picture 2">
          <a:extLst>
            <a:ext uri="{FF2B5EF4-FFF2-40B4-BE49-F238E27FC236}">
              <a16:creationId xmlns:a16="http://schemas.microsoft.com/office/drawing/2014/main" id="{E717E20A-4138-45A5-8964-0CA3BF1379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8798095" y="112486"/>
          <a:ext cx="1427388" cy="6073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3175</xdr:colOff>
      <xdr:row>0</xdr:row>
      <xdr:rowOff>74386</xdr:rowOff>
    </xdr:from>
    <xdr:to>
      <xdr:col>11</xdr:col>
      <xdr:colOff>214991</xdr:colOff>
      <xdr:row>2</xdr:row>
      <xdr:rowOff>95863</xdr:rowOff>
    </xdr:to>
    <xdr:pic>
      <xdr:nvPicPr>
        <xdr:cNvPr id="3" name="Picture 2">
          <a:extLst>
            <a:ext uri="{FF2B5EF4-FFF2-40B4-BE49-F238E27FC236}">
              <a16:creationId xmlns:a16="http://schemas.microsoft.com/office/drawing/2014/main" id="{D81B3006-CB38-4600-A913-8A96AA0932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34109" y="74386"/>
          <a:ext cx="1431016" cy="6127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3175</xdr:colOff>
      <xdr:row>0</xdr:row>
      <xdr:rowOff>74386</xdr:rowOff>
    </xdr:from>
    <xdr:to>
      <xdr:col>10</xdr:col>
      <xdr:colOff>446579</xdr:colOff>
      <xdr:row>2</xdr:row>
      <xdr:rowOff>58883</xdr:rowOff>
    </xdr:to>
    <xdr:pic>
      <xdr:nvPicPr>
        <xdr:cNvPr id="3" name="Picture 2">
          <a:extLst>
            <a:ext uri="{FF2B5EF4-FFF2-40B4-BE49-F238E27FC236}">
              <a16:creationId xmlns:a16="http://schemas.microsoft.com/office/drawing/2014/main" id="{212E07FE-FDB7-4A84-B244-581ACFDBE8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34109" y="74386"/>
          <a:ext cx="1431016" cy="6056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water.gov.il/Users/cheny/AppData/Local/Microsoft/Windows/Temporary%20Internet%20Files/Content.Outlook/R4J9XZFC/matkonet-31%2012%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תוכן עניינים"/>
      <sheetName val="הנחיות"/>
      <sheetName val="פרטים על התאגיד"/>
      <sheetName val="חוות דעת רו&quot;ח"/>
      <sheetName val="מאזן"/>
      <sheetName val="רו&quot;ה"/>
      <sheetName val="הון עצמי"/>
      <sheetName val="תזרים"/>
      <sheetName val="נספח א"/>
      <sheetName val="נספח ב"/>
      <sheetName val="נייר עבודה דו&quot;ח תזרים"/>
      <sheetName val="ביאורים 1-9"/>
      <sheetName val="באור 10-11"/>
      <sheetName val="באור 10 פירוט "/>
      <sheetName val="באור 11 פירוט "/>
      <sheetName val="ביאורים 12-29"/>
      <sheetName val="ביאורים 30-32"/>
      <sheetName val="תמצית דוח דירקטוריון"/>
      <sheetName val="דוח הצלבות"/>
      <sheetName val="אשכול חברתי"/>
      <sheetName val="גיליון1"/>
      <sheetName val="matkonet-31 12 14 (2)"/>
    </sheetNames>
    <sheetDataSet>
      <sheetData sheetId="0"/>
      <sheetData sheetId="1"/>
      <sheetData sheetId="2"/>
      <sheetData sheetId="3"/>
      <sheetData sheetId="4"/>
      <sheetData sheetId="5"/>
      <sheetData sheetId="6"/>
      <sheetData sheetId="7"/>
      <sheetData sheetId="8"/>
      <sheetData sheetId="9"/>
      <sheetData sheetId="10">
        <row r="55">
          <cell r="C55" t="str">
            <v>סעיף אחר-פעילות השקעה (***)</v>
          </cell>
        </row>
        <row r="56">
          <cell r="C56" t="str">
            <v>סעיף אחר-פעילות השקעה (***)</v>
          </cell>
        </row>
        <row r="57">
          <cell r="C57" t="str">
            <v>סעיף אחר-פעילות השקעה (***)</v>
          </cell>
        </row>
        <row r="58">
          <cell r="C58" t="str">
            <v>סעיף אחר-פעילות מימון (***)</v>
          </cell>
        </row>
        <row r="61">
          <cell r="C61" t="str">
            <v>סעיף אחר-פעילות שוטפת (שינוי בסעיפי רכוש והתחייבות) (***)</v>
          </cell>
        </row>
        <row r="90">
          <cell r="C90" t="str">
            <v>סעיף אחר-פעילות מימון (***)</v>
          </cell>
        </row>
        <row r="91">
          <cell r="C91" t="str">
            <v>סעיף אחר-פעילות מימון (***)</v>
          </cell>
        </row>
        <row r="92">
          <cell r="C92" t="str">
            <v>סעיף אחר-פעילות מימון (***)</v>
          </cell>
        </row>
        <row r="93">
          <cell r="C93" t="str">
            <v>סעיף אחר-פעילות השקעה (***)</v>
          </cell>
        </row>
      </sheetData>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1:I23"/>
  <sheetViews>
    <sheetView showGridLines="0" rightToLeft="1" zoomScaleNormal="100" zoomScaleSheetLayoutView="130" workbookViewId="0">
      <selection activeCell="G11" sqref="G11"/>
    </sheetView>
  </sheetViews>
  <sheetFormatPr defaultColWidth="8" defaultRowHeight="15" x14ac:dyDescent="0.25"/>
  <cols>
    <col min="1" max="1" width="8" style="1"/>
    <col min="2" max="2" width="9.625" style="1" customWidth="1"/>
    <col min="3" max="3" width="7.75" style="1" customWidth="1"/>
    <col min="4" max="4" width="30.75" style="1" customWidth="1"/>
    <col min="5" max="16384" width="8" style="1"/>
  </cols>
  <sheetData>
    <row r="1" spans="1:9" s="8" customFormat="1" ht="26.25" x14ac:dyDescent="0.4">
      <c r="A1" s="11" t="s">
        <v>776</v>
      </c>
      <c r="B1" s="5"/>
      <c r="C1" s="12">
        <v>2024</v>
      </c>
      <c r="D1" s="5"/>
      <c r="E1" s="5"/>
      <c r="F1" s="5"/>
      <c r="G1" s="5"/>
    </row>
    <row r="2" spans="1:9" s="8" customFormat="1" ht="21" x14ac:dyDescent="0.35">
      <c r="A2" s="13" t="s">
        <v>772</v>
      </c>
      <c r="B2" s="6"/>
      <c r="C2" s="15" t="s">
        <v>0</v>
      </c>
      <c r="D2" s="6"/>
      <c r="E2" s="6"/>
      <c r="F2" s="6"/>
      <c r="G2" s="6"/>
    </row>
    <row r="3" spans="1:9" s="8" customFormat="1" ht="16.5" customHeight="1" x14ac:dyDescent="0.25">
      <c r="A3" s="7"/>
      <c r="B3" s="6"/>
      <c r="C3" s="6"/>
      <c r="D3" s="6"/>
      <c r="E3" s="6"/>
      <c r="F3" s="6"/>
      <c r="G3" s="6"/>
    </row>
    <row r="4" spans="1:9" s="8" customFormat="1" ht="16.5" customHeight="1" x14ac:dyDescent="0.25">
      <c r="A4" s="10"/>
    </row>
    <row r="5" spans="1:9" s="8" customFormat="1" ht="16.5" customHeight="1" x14ac:dyDescent="0.25">
      <c r="A5" s="9"/>
    </row>
    <row r="6" spans="1:9" s="4" customFormat="1" ht="19.5" thickBot="1" x14ac:dyDescent="0.35">
      <c r="A6" s="30" t="s">
        <v>1</v>
      </c>
      <c r="B6" s="3"/>
      <c r="C6" s="3"/>
      <c r="D6" s="3"/>
      <c r="E6" s="3"/>
      <c r="F6" s="3"/>
      <c r="G6" s="3"/>
      <c r="H6" s="1"/>
      <c r="I6" s="1"/>
    </row>
    <row r="7" spans="1:9" s="4" customFormat="1" ht="15.75" x14ac:dyDescent="0.25">
      <c r="A7" s="3"/>
      <c r="B7" s="42"/>
      <c r="C7" s="43"/>
      <c r="D7" s="43"/>
      <c r="E7" s="43"/>
      <c r="F7" s="43"/>
      <c r="G7" s="44"/>
      <c r="H7" s="1"/>
      <c r="I7" s="1"/>
    </row>
    <row r="8" spans="1:9" s="4" customFormat="1" ht="15.75" x14ac:dyDescent="0.25">
      <c r="A8" s="3"/>
      <c r="B8" s="16"/>
      <c r="C8" s="22" t="s">
        <v>2</v>
      </c>
      <c r="D8" s="22" t="s">
        <v>3</v>
      </c>
      <c r="E8" s="721" t="s">
        <v>4</v>
      </c>
      <c r="F8" s="721"/>
      <c r="G8" s="17"/>
      <c r="H8" s="1"/>
      <c r="I8" s="1"/>
    </row>
    <row r="9" spans="1:9" s="4" customFormat="1" ht="8.25" customHeight="1" x14ac:dyDescent="0.25">
      <c r="A9" s="3"/>
      <c r="B9" s="16"/>
      <c r="C9" s="3"/>
      <c r="D9" s="18"/>
      <c r="E9" s="720"/>
      <c r="F9" s="720"/>
      <c r="G9" s="17"/>
      <c r="H9" s="1"/>
      <c r="I9" s="1"/>
    </row>
    <row r="10" spans="1:9" s="4" customFormat="1" ht="31.5" x14ac:dyDescent="0.25">
      <c r="A10" s="3"/>
      <c r="B10" s="16"/>
      <c r="C10" s="38"/>
      <c r="D10" s="39" t="s">
        <v>787</v>
      </c>
      <c r="E10" s="720" t="s">
        <v>5</v>
      </c>
      <c r="F10" s="720"/>
      <c r="G10" s="17"/>
      <c r="H10" s="1"/>
      <c r="I10" s="1"/>
    </row>
    <row r="11" spans="1:9" s="4" customFormat="1" ht="15.75" x14ac:dyDescent="0.25">
      <c r="A11" s="3"/>
      <c r="B11" s="16"/>
      <c r="C11" s="40"/>
      <c r="D11" s="18" t="s">
        <v>6</v>
      </c>
      <c r="E11" s="720" t="s">
        <v>7</v>
      </c>
      <c r="F11" s="720"/>
      <c r="G11" s="17"/>
      <c r="H11" s="1"/>
      <c r="I11" s="1"/>
    </row>
    <row r="12" spans="1:9" s="4" customFormat="1" ht="15.75" x14ac:dyDescent="0.25">
      <c r="A12" s="3"/>
      <c r="B12" s="16"/>
      <c r="C12" s="41"/>
      <c r="D12" s="18" t="s">
        <v>8</v>
      </c>
      <c r="E12" s="720" t="s">
        <v>7</v>
      </c>
      <c r="F12" s="720"/>
      <c r="G12" s="17"/>
      <c r="H12" s="1"/>
      <c r="I12" s="1"/>
    </row>
    <row r="13" spans="1:9" s="4" customFormat="1" ht="31.5" x14ac:dyDescent="0.25">
      <c r="A13" s="3"/>
      <c r="B13" s="16"/>
      <c r="C13" s="38" t="s">
        <v>9</v>
      </c>
      <c r="D13" s="39" t="s">
        <v>820</v>
      </c>
      <c r="E13" s="720" t="s">
        <v>5</v>
      </c>
      <c r="F13" s="720"/>
      <c r="G13" s="17"/>
      <c r="H13" s="1"/>
      <c r="I13" s="1"/>
    </row>
    <row r="14" spans="1:9" s="4" customFormat="1" ht="16.5" thickBot="1" x14ac:dyDescent="0.3">
      <c r="B14" s="19"/>
      <c r="C14" s="20"/>
      <c r="D14" s="20"/>
      <c r="E14" s="20"/>
      <c r="F14" s="20"/>
      <c r="G14" s="21"/>
    </row>
    <row r="15" spans="1:9" s="4" customFormat="1" ht="15.75" x14ac:dyDescent="0.25">
      <c r="A15" s="2"/>
      <c r="B15" s="3"/>
      <c r="C15" s="1"/>
      <c r="D15" s="1"/>
      <c r="E15" s="1"/>
      <c r="F15" s="1"/>
      <c r="G15" s="3"/>
      <c r="H15" s="1"/>
      <c r="I15" s="1"/>
    </row>
    <row r="16" spans="1:9" s="4" customFormat="1" ht="15.75" x14ac:dyDescent="0.25">
      <c r="A16" s="2"/>
      <c r="B16" s="3"/>
      <c r="C16" s="1"/>
      <c r="D16" s="1"/>
      <c r="E16" s="1"/>
      <c r="F16" s="1"/>
      <c r="G16" s="3"/>
      <c r="H16" s="1"/>
      <c r="I16" s="1"/>
    </row>
    <row r="17" spans="1:9" s="4" customFormat="1" ht="15.75" x14ac:dyDescent="0.25">
      <c r="A17" s="2"/>
      <c r="B17" s="3"/>
      <c r="C17" s="1"/>
      <c r="D17" s="1"/>
      <c r="E17" s="1"/>
      <c r="F17" s="1"/>
      <c r="G17" s="3"/>
      <c r="H17" s="1"/>
      <c r="I17" s="1"/>
    </row>
    <row r="18" spans="1:9" s="4" customFormat="1" ht="15.75" x14ac:dyDescent="0.25">
      <c r="A18" s="2"/>
      <c r="B18" s="3"/>
      <c r="C18" s="1"/>
      <c r="D18" s="1"/>
      <c r="E18" s="1"/>
      <c r="F18" s="1"/>
      <c r="G18" s="3"/>
      <c r="H18" s="1"/>
      <c r="I18" s="1"/>
    </row>
    <row r="19" spans="1:9" s="4" customFormat="1" ht="15.75" x14ac:dyDescent="0.25">
      <c r="A19" s="1"/>
      <c r="B19" s="3"/>
      <c r="C19" s="1"/>
      <c r="D19" s="1"/>
      <c r="E19" s="1"/>
      <c r="F19" s="1"/>
      <c r="G19" s="3"/>
      <c r="H19" s="1"/>
      <c r="I19" s="1"/>
    </row>
    <row r="20" spans="1:9" s="4" customFormat="1" ht="15.75" x14ac:dyDescent="0.25">
      <c r="A20" s="1"/>
      <c r="B20" s="3"/>
      <c r="C20" s="1"/>
      <c r="D20" s="1"/>
      <c r="E20" s="1"/>
      <c r="F20" s="1"/>
      <c r="G20" s="3"/>
      <c r="H20" s="1"/>
      <c r="I20" s="1"/>
    </row>
    <row r="21" spans="1:9" s="4" customFormat="1" ht="15.75" x14ac:dyDescent="0.25">
      <c r="A21" s="1"/>
      <c r="B21" s="3"/>
      <c r="C21" s="1"/>
      <c r="D21" s="1"/>
      <c r="E21" s="1"/>
      <c r="F21" s="1"/>
      <c r="G21" s="1"/>
      <c r="H21" s="1"/>
      <c r="I21" s="1"/>
    </row>
    <row r="22" spans="1:9" ht="15.75" x14ac:dyDescent="0.25">
      <c r="B22" s="3"/>
    </row>
    <row r="23" spans="1:9" ht="15.75" x14ac:dyDescent="0.25">
      <c r="B23" s="3"/>
    </row>
  </sheetData>
  <sheetProtection algorithmName="SHA-512" hashValue="txQYJGjGiRu/TACjf65BviOK95lr513WLrYSwR3giw2qDelcMzR/lziHLUbqj6GTZupnnqpFq+ZB+sn5pq014A==" saltValue="fR0nhoGBuUZf9J0ZO3Sy7w==" spinCount="100000" sheet="1" objects="1" scenarios="1"/>
  <mergeCells count="6">
    <mergeCell ref="E13:F13"/>
    <mergeCell ref="E8:F8"/>
    <mergeCell ref="E9:F9"/>
    <mergeCell ref="E10:F10"/>
    <mergeCell ref="E11:F11"/>
    <mergeCell ref="E12:F12"/>
  </mergeCells>
  <hyperlinks>
    <hyperlink ref="A6" location="'תוכן עניינים'!A1" display="תוכן עניינים" xr:uid="{00000000-0004-0000-0000-000000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10"/>
  <dimension ref="A1:L63"/>
  <sheetViews>
    <sheetView showGridLines="0" rightToLeft="1" zoomScale="85" zoomScaleNormal="85" workbookViewId="0">
      <selection activeCell="L52" sqref="L52"/>
    </sheetView>
  </sheetViews>
  <sheetFormatPr defaultColWidth="8" defaultRowHeight="12.75" x14ac:dyDescent="0.2"/>
  <cols>
    <col min="1" max="1" width="8.75" style="56" customWidth="1"/>
    <col min="2" max="2" width="6.625" style="56" customWidth="1"/>
    <col min="3" max="3" width="8.625" style="56" customWidth="1"/>
    <col min="4" max="4" width="4.625" style="56" customWidth="1"/>
    <col min="5" max="5" width="11.25" style="56" bestFit="1" customWidth="1"/>
    <col min="6" max="6" width="10.25" style="56" customWidth="1"/>
    <col min="7" max="7" width="12.75" style="56" customWidth="1"/>
    <col min="8" max="8" width="13" style="56" customWidth="1"/>
    <col min="9" max="9" width="7.625" style="56" customWidth="1"/>
    <col min="10" max="10" width="13" style="56" customWidth="1"/>
    <col min="11" max="11" width="8" style="56"/>
    <col min="12" max="12" width="10.125" style="56" customWidth="1"/>
    <col min="13" max="16384" width="8" style="56"/>
  </cols>
  <sheetData>
    <row r="1" spans="1:12" ht="20.65" customHeight="1" x14ac:dyDescent="0.5">
      <c r="A1" s="11" t="s">
        <v>776</v>
      </c>
      <c r="B1" s="5"/>
      <c r="C1" s="12">
        <f>הנחיות!C1</f>
        <v>2024</v>
      </c>
      <c r="D1" s="5"/>
      <c r="E1" s="5"/>
      <c r="F1" s="5"/>
      <c r="G1" s="5"/>
      <c r="H1" s="70"/>
      <c r="I1" s="73"/>
      <c r="J1" s="73"/>
      <c r="K1" s="6"/>
      <c r="L1" s="71"/>
    </row>
    <row r="2" spans="1:12" ht="31.5" x14ac:dyDescent="0.5">
      <c r="A2" s="13" t="s">
        <v>772</v>
      </c>
      <c r="B2" s="6"/>
      <c r="C2" s="15" t="s">
        <v>795</v>
      </c>
      <c r="D2" s="6"/>
      <c r="E2" s="6"/>
      <c r="F2" s="6"/>
      <c r="G2" s="6"/>
      <c r="H2" s="72"/>
      <c r="I2" s="73"/>
      <c r="J2" s="73"/>
      <c r="K2" s="6"/>
      <c r="L2" s="71"/>
    </row>
    <row r="3" spans="1:12" ht="14.1" customHeight="1" x14ac:dyDescent="0.5">
      <c r="A3" s="7"/>
      <c r="B3" s="6"/>
      <c r="C3" s="6"/>
      <c r="D3" s="6"/>
      <c r="E3" s="6"/>
      <c r="F3" s="6"/>
      <c r="G3" s="6"/>
      <c r="H3" s="72"/>
      <c r="I3" s="73"/>
      <c r="J3" s="73"/>
      <c r="K3" s="6"/>
      <c r="L3" s="71"/>
    </row>
    <row r="4" spans="1:12" ht="31.5" x14ac:dyDescent="0.5">
      <c r="A4" s="169" t="s">
        <v>773</v>
      </c>
      <c r="B4" s="170"/>
      <c r="C4" s="171" t="str">
        <f>IF('פרטי התאגיד'!$G$9=0, "", 'פרטי התאגיד'!$G$9)</f>
        <v>פלגי מוצקין בע"מ</v>
      </c>
      <c r="D4" s="172"/>
      <c r="E4" s="172"/>
      <c r="F4" s="172"/>
      <c r="G4" s="172"/>
      <c r="H4" s="173"/>
      <c r="I4" s="174"/>
      <c r="J4" s="174"/>
      <c r="K4" s="201"/>
      <c r="L4" s="71"/>
    </row>
    <row r="5" spans="1:12" ht="31.5" x14ac:dyDescent="0.5">
      <c r="A5" s="202"/>
      <c r="B5" s="53"/>
      <c r="C5" s="53"/>
      <c r="D5" s="53"/>
      <c r="E5" s="53"/>
      <c r="F5" s="57"/>
      <c r="G5" s="53"/>
      <c r="H5" s="53"/>
      <c r="I5" s="53"/>
      <c r="J5" s="53"/>
      <c r="K5" s="53"/>
      <c r="L5" s="71"/>
    </row>
    <row r="6" spans="1:12" ht="23.25" x14ac:dyDescent="0.35">
      <c r="A6" s="30" t="s">
        <v>1</v>
      </c>
      <c r="B6" s="271"/>
      <c r="C6" s="271"/>
      <c r="D6" s="271"/>
      <c r="E6" s="271"/>
      <c r="F6" s="271"/>
      <c r="G6" s="271"/>
      <c r="H6" s="271"/>
      <c r="I6" s="271"/>
      <c r="J6" s="271"/>
    </row>
    <row r="7" spans="1:12" ht="18.75" x14ac:dyDescent="0.3">
      <c r="A7" s="30" t="s">
        <v>182</v>
      </c>
      <c r="B7" s="209"/>
      <c r="C7" s="209"/>
      <c r="D7" s="209"/>
      <c r="E7" s="209"/>
      <c r="F7" s="209"/>
      <c r="G7" s="209"/>
      <c r="H7" s="209"/>
      <c r="I7" s="209"/>
      <c r="J7" s="209"/>
    </row>
    <row r="8" spans="1:12" ht="18.75" x14ac:dyDescent="0.3">
      <c r="A8" s="30" t="s">
        <v>202</v>
      </c>
      <c r="B8" s="209"/>
      <c r="C8" s="209"/>
      <c r="D8" s="209"/>
      <c r="E8" s="209"/>
      <c r="F8" s="209"/>
      <c r="G8" s="209"/>
      <c r="H8" s="209"/>
      <c r="I8" s="209"/>
      <c r="J8" s="209"/>
    </row>
    <row r="9" spans="1:12" ht="16.5" thickBot="1" x14ac:dyDescent="0.3">
      <c r="A9" s="76"/>
      <c r="C9" s="79"/>
      <c r="D9" s="79"/>
      <c r="E9" s="79"/>
      <c r="F9" s="79"/>
      <c r="G9" s="79"/>
      <c r="H9" s="79"/>
      <c r="I9" s="79"/>
      <c r="J9" s="79"/>
    </row>
    <row r="10" spans="1:12" ht="15.75" x14ac:dyDescent="0.25">
      <c r="B10" s="273"/>
      <c r="C10" s="257"/>
      <c r="D10" s="257"/>
      <c r="E10" s="257"/>
      <c r="F10" s="257"/>
      <c r="G10" s="257"/>
      <c r="H10" s="257"/>
      <c r="I10" s="257"/>
      <c r="J10" s="257"/>
      <c r="K10" s="274"/>
    </row>
    <row r="11" spans="1:12" s="103" customFormat="1" ht="18.75" x14ac:dyDescent="0.3">
      <c r="B11" s="761" t="s">
        <v>203</v>
      </c>
      <c r="C11" s="762"/>
      <c r="D11" s="762"/>
      <c r="E11" s="762"/>
      <c r="F11" s="762"/>
      <c r="G11" s="245"/>
      <c r="H11" s="245"/>
      <c r="I11" s="245"/>
      <c r="J11" s="245"/>
      <c r="K11" s="275"/>
    </row>
    <row r="12" spans="1:12" s="79" customFormat="1" ht="15.75" x14ac:dyDescent="0.25">
      <c r="B12" s="282" t="s">
        <v>204</v>
      </c>
      <c r="C12" s="272"/>
      <c r="D12" s="243"/>
      <c r="E12" s="243" t="s">
        <v>205</v>
      </c>
      <c r="F12" s="281"/>
      <c r="G12" s="281"/>
      <c r="H12" s="281"/>
      <c r="I12" s="281"/>
      <c r="J12" s="281"/>
      <c r="K12" s="260"/>
    </row>
    <row r="13" spans="1:12" ht="15.75" x14ac:dyDescent="0.25">
      <c r="B13" s="261"/>
      <c r="C13" s="79"/>
      <c r="D13" s="79"/>
      <c r="E13" s="79"/>
      <c r="F13" s="79"/>
      <c r="G13" s="79"/>
      <c r="H13" s="79"/>
      <c r="I13" s="79"/>
      <c r="J13" s="79"/>
      <c r="K13" s="276"/>
    </row>
    <row r="14" spans="1:12" ht="15.75" x14ac:dyDescent="0.25">
      <c r="B14" s="751">
        <v>1</v>
      </c>
      <c r="C14" s="720"/>
      <c r="D14" s="79"/>
      <c r="E14" s="752" t="s">
        <v>788</v>
      </c>
      <c r="F14" s="753"/>
      <c r="G14" s="753"/>
      <c r="H14" s="753"/>
      <c r="I14" s="753"/>
      <c r="J14" s="754"/>
      <c r="K14" s="276"/>
    </row>
    <row r="15" spans="1:12" ht="15.75" x14ac:dyDescent="0.25">
      <c r="B15" s="751"/>
      <c r="C15" s="720"/>
      <c r="D15" s="79"/>
      <c r="E15" s="755"/>
      <c r="F15" s="756"/>
      <c r="G15" s="756"/>
      <c r="H15" s="756"/>
      <c r="I15" s="756"/>
      <c r="J15" s="757"/>
      <c r="K15" s="276"/>
    </row>
    <row r="16" spans="1:12" ht="15.75" x14ac:dyDescent="0.25">
      <c r="B16" s="751"/>
      <c r="C16" s="720"/>
      <c r="D16" s="79"/>
      <c r="E16" s="755"/>
      <c r="F16" s="756"/>
      <c r="G16" s="756"/>
      <c r="H16" s="756"/>
      <c r="I16" s="756"/>
      <c r="J16" s="757"/>
      <c r="K16" s="276"/>
    </row>
    <row r="17" spans="2:11" ht="15.75" x14ac:dyDescent="0.25">
      <c r="B17" s="751"/>
      <c r="C17" s="720"/>
      <c r="D17" s="79"/>
      <c r="E17" s="758"/>
      <c r="F17" s="759"/>
      <c r="G17" s="759"/>
      <c r="H17" s="759"/>
      <c r="I17" s="759"/>
      <c r="J17" s="760"/>
      <c r="K17" s="276"/>
    </row>
    <row r="18" spans="2:11" ht="15.75" x14ac:dyDescent="0.25">
      <c r="B18" s="277"/>
      <c r="C18" s="79"/>
      <c r="D18" s="79"/>
      <c r="E18" s="79"/>
      <c r="F18" s="79"/>
      <c r="G18" s="79"/>
      <c r="H18" s="79"/>
      <c r="I18" s="79"/>
      <c r="J18" s="79"/>
      <c r="K18" s="276"/>
    </row>
    <row r="19" spans="2:11" ht="15.75" x14ac:dyDescent="0.25">
      <c r="B19" s="751">
        <v>2</v>
      </c>
      <c r="C19" s="720"/>
      <c r="D19" s="79"/>
      <c r="E19" s="752" t="s">
        <v>788</v>
      </c>
      <c r="F19" s="753"/>
      <c r="G19" s="753"/>
      <c r="H19" s="753"/>
      <c r="I19" s="753"/>
      <c r="J19" s="754"/>
      <c r="K19" s="276"/>
    </row>
    <row r="20" spans="2:11" ht="15.75" x14ac:dyDescent="0.25">
      <c r="B20" s="751"/>
      <c r="C20" s="720"/>
      <c r="D20" s="79"/>
      <c r="E20" s="755"/>
      <c r="F20" s="756"/>
      <c r="G20" s="756"/>
      <c r="H20" s="756"/>
      <c r="I20" s="756"/>
      <c r="J20" s="757"/>
      <c r="K20" s="276"/>
    </row>
    <row r="21" spans="2:11" ht="15.75" x14ac:dyDescent="0.25">
      <c r="B21" s="751"/>
      <c r="C21" s="720"/>
      <c r="D21" s="79"/>
      <c r="E21" s="755"/>
      <c r="F21" s="756"/>
      <c r="G21" s="756"/>
      <c r="H21" s="756"/>
      <c r="I21" s="756"/>
      <c r="J21" s="757"/>
      <c r="K21" s="276"/>
    </row>
    <row r="22" spans="2:11" ht="15.75" x14ac:dyDescent="0.25">
      <c r="B22" s="751"/>
      <c r="C22" s="720"/>
      <c r="D22" s="79"/>
      <c r="E22" s="758"/>
      <c r="F22" s="759"/>
      <c r="G22" s="759"/>
      <c r="H22" s="759"/>
      <c r="I22" s="759"/>
      <c r="J22" s="760"/>
      <c r="K22" s="276"/>
    </row>
    <row r="23" spans="2:11" ht="15.75" x14ac:dyDescent="0.2">
      <c r="B23" s="277"/>
      <c r="K23" s="276"/>
    </row>
    <row r="24" spans="2:11" ht="15.75" x14ac:dyDescent="0.25">
      <c r="B24" s="751">
        <v>3</v>
      </c>
      <c r="C24" s="720"/>
      <c r="D24" s="79"/>
      <c r="E24" s="752" t="s">
        <v>788</v>
      </c>
      <c r="F24" s="753"/>
      <c r="G24" s="753"/>
      <c r="H24" s="753"/>
      <c r="I24" s="753"/>
      <c r="J24" s="754"/>
      <c r="K24" s="276"/>
    </row>
    <row r="25" spans="2:11" ht="15.75" x14ac:dyDescent="0.25">
      <c r="B25" s="751"/>
      <c r="C25" s="720"/>
      <c r="D25" s="79"/>
      <c r="E25" s="755"/>
      <c r="F25" s="756"/>
      <c r="G25" s="756"/>
      <c r="H25" s="756"/>
      <c r="I25" s="756"/>
      <c r="J25" s="757"/>
      <c r="K25" s="276"/>
    </row>
    <row r="26" spans="2:11" ht="15.75" x14ac:dyDescent="0.25">
      <c r="B26" s="751"/>
      <c r="C26" s="720"/>
      <c r="D26" s="79"/>
      <c r="E26" s="755"/>
      <c r="F26" s="756"/>
      <c r="G26" s="756"/>
      <c r="H26" s="756"/>
      <c r="I26" s="756"/>
      <c r="J26" s="757"/>
      <c r="K26" s="276"/>
    </row>
    <row r="27" spans="2:11" ht="15.75" x14ac:dyDescent="0.25">
      <c r="B27" s="751"/>
      <c r="C27" s="720"/>
      <c r="D27" s="79"/>
      <c r="E27" s="758"/>
      <c r="F27" s="759"/>
      <c r="G27" s="759"/>
      <c r="H27" s="759"/>
      <c r="I27" s="759"/>
      <c r="J27" s="760"/>
      <c r="K27" s="276"/>
    </row>
    <row r="28" spans="2:11" ht="15.75" x14ac:dyDescent="0.2">
      <c r="B28" s="277"/>
      <c r="K28" s="276"/>
    </row>
    <row r="29" spans="2:11" ht="15.75" x14ac:dyDescent="0.25">
      <c r="B29" s="751">
        <v>4</v>
      </c>
      <c r="C29" s="720"/>
      <c r="D29" s="79"/>
      <c r="E29" s="752" t="s">
        <v>788</v>
      </c>
      <c r="F29" s="753"/>
      <c r="G29" s="753"/>
      <c r="H29" s="753"/>
      <c r="I29" s="753"/>
      <c r="J29" s="754"/>
      <c r="K29" s="276"/>
    </row>
    <row r="30" spans="2:11" ht="15.75" x14ac:dyDescent="0.25">
      <c r="B30" s="751"/>
      <c r="C30" s="720"/>
      <c r="D30" s="79"/>
      <c r="E30" s="755"/>
      <c r="F30" s="756"/>
      <c r="G30" s="756"/>
      <c r="H30" s="756"/>
      <c r="I30" s="756"/>
      <c r="J30" s="757"/>
      <c r="K30" s="276"/>
    </row>
    <row r="31" spans="2:11" ht="15.75" x14ac:dyDescent="0.25">
      <c r="B31" s="751"/>
      <c r="C31" s="720"/>
      <c r="D31" s="79"/>
      <c r="E31" s="755"/>
      <c r="F31" s="756"/>
      <c r="G31" s="756"/>
      <c r="H31" s="756"/>
      <c r="I31" s="756"/>
      <c r="J31" s="757"/>
      <c r="K31" s="276"/>
    </row>
    <row r="32" spans="2:11" ht="15.75" x14ac:dyDescent="0.25">
      <c r="B32" s="751"/>
      <c r="C32" s="720"/>
      <c r="D32" s="79"/>
      <c r="E32" s="758"/>
      <c r="F32" s="759"/>
      <c r="G32" s="759"/>
      <c r="H32" s="759"/>
      <c r="I32" s="759"/>
      <c r="J32" s="760"/>
      <c r="K32" s="276"/>
    </row>
    <row r="33" spans="2:11" ht="15.75" x14ac:dyDescent="0.2">
      <c r="B33" s="277"/>
      <c r="K33" s="276"/>
    </row>
    <row r="34" spans="2:11" ht="15.75" x14ac:dyDescent="0.25">
      <c r="B34" s="751">
        <v>5</v>
      </c>
      <c r="C34" s="720"/>
      <c r="D34" s="79"/>
      <c r="E34" s="752" t="s">
        <v>788</v>
      </c>
      <c r="F34" s="753"/>
      <c r="G34" s="753"/>
      <c r="H34" s="753"/>
      <c r="I34" s="753"/>
      <c r="J34" s="754"/>
      <c r="K34" s="276"/>
    </row>
    <row r="35" spans="2:11" ht="15.75" x14ac:dyDescent="0.25">
      <c r="B35" s="751"/>
      <c r="C35" s="720"/>
      <c r="D35" s="79"/>
      <c r="E35" s="755"/>
      <c r="F35" s="756"/>
      <c r="G35" s="756"/>
      <c r="H35" s="756"/>
      <c r="I35" s="756"/>
      <c r="J35" s="757"/>
      <c r="K35" s="276"/>
    </row>
    <row r="36" spans="2:11" ht="15.75" x14ac:dyDescent="0.25">
      <c r="B36" s="751"/>
      <c r="C36" s="720"/>
      <c r="D36" s="79"/>
      <c r="E36" s="755"/>
      <c r="F36" s="756"/>
      <c r="G36" s="756"/>
      <c r="H36" s="756"/>
      <c r="I36" s="756"/>
      <c r="J36" s="757"/>
      <c r="K36" s="276"/>
    </row>
    <row r="37" spans="2:11" ht="15.75" x14ac:dyDescent="0.25">
      <c r="B37" s="751"/>
      <c r="C37" s="720"/>
      <c r="D37" s="79"/>
      <c r="E37" s="758"/>
      <c r="F37" s="759"/>
      <c r="G37" s="759"/>
      <c r="H37" s="759"/>
      <c r="I37" s="759"/>
      <c r="J37" s="760"/>
      <c r="K37" s="276"/>
    </row>
    <row r="38" spans="2:11" ht="15.75" x14ac:dyDescent="0.2">
      <c r="B38" s="277"/>
      <c r="K38" s="276"/>
    </row>
    <row r="39" spans="2:11" ht="15.4" customHeight="1" x14ac:dyDescent="0.25">
      <c r="B39" s="751">
        <v>6</v>
      </c>
      <c r="C39" s="720"/>
      <c r="D39" s="79"/>
      <c r="E39" s="752" t="s">
        <v>788</v>
      </c>
      <c r="F39" s="753"/>
      <c r="G39" s="753"/>
      <c r="H39" s="753"/>
      <c r="I39" s="753"/>
      <c r="J39" s="754"/>
      <c r="K39" s="276"/>
    </row>
    <row r="40" spans="2:11" ht="15.75" x14ac:dyDescent="0.25">
      <c r="B40" s="751"/>
      <c r="C40" s="720"/>
      <c r="D40" s="79"/>
      <c r="E40" s="755"/>
      <c r="F40" s="756"/>
      <c r="G40" s="756"/>
      <c r="H40" s="756"/>
      <c r="I40" s="756"/>
      <c r="J40" s="757"/>
      <c r="K40" s="276"/>
    </row>
    <row r="41" spans="2:11" ht="15.75" x14ac:dyDescent="0.25">
      <c r="B41" s="751"/>
      <c r="C41" s="720"/>
      <c r="D41" s="79"/>
      <c r="E41" s="755"/>
      <c r="F41" s="756"/>
      <c r="G41" s="756"/>
      <c r="H41" s="756"/>
      <c r="I41" s="756"/>
      <c r="J41" s="757"/>
      <c r="K41" s="276"/>
    </row>
    <row r="42" spans="2:11" ht="15.75" x14ac:dyDescent="0.25">
      <c r="B42" s="751"/>
      <c r="C42" s="720"/>
      <c r="D42" s="79"/>
      <c r="E42" s="758"/>
      <c r="F42" s="759"/>
      <c r="G42" s="759"/>
      <c r="H42" s="759"/>
      <c r="I42" s="759"/>
      <c r="J42" s="760"/>
      <c r="K42" s="276"/>
    </row>
    <row r="43" spans="2:11" ht="15.75" x14ac:dyDescent="0.2">
      <c r="B43" s="277"/>
      <c r="K43" s="276"/>
    </row>
    <row r="44" spans="2:11" ht="15.75" x14ac:dyDescent="0.25">
      <c r="B44" s="751">
        <v>7</v>
      </c>
      <c r="C44" s="720"/>
      <c r="D44" s="79"/>
      <c r="E44" s="752" t="s">
        <v>788</v>
      </c>
      <c r="F44" s="753"/>
      <c r="G44" s="753"/>
      <c r="H44" s="753"/>
      <c r="I44" s="753"/>
      <c r="J44" s="754"/>
      <c r="K44" s="276"/>
    </row>
    <row r="45" spans="2:11" ht="15.75" x14ac:dyDescent="0.25">
      <c r="B45" s="751"/>
      <c r="C45" s="720"/>
      <c r="D45" s="79"/>
      <c r="E45" s="755"/>
      <c r="F45" s="756"/>
      <c r="G45" s="756"/>
      <c r="H45" s="756"/>
      <c r="I45" s="756"/>
      <c r="J45" s="757"/>
      <c r="K45" s="276"/>
    </row>
    <row r="46" spans="2:11" ht="15.75" x14ac:dyDescent="0.25">
      <c r="B46" s="751"/>
      <c r="C46" s="720"/>
      <c r="D46" s="79"/>
      <c r="E46" s="755"/>
      <c r="F46" s="756"/>
      <c r="G46" s="756"/>
      <c r="H46" s="756"/>
      <c r="I46" s="756"/>
      <c r="J46" s="757"/>
      <c r="K46" s="276"/>
    </row>
    <row r="47" spans="2:11" ht="15.75" x14ac:dyDescent="0.25">
      <c r="B47" s="751"/>
      <c r="C47" s="720"/>
      <c r="D47" s="79"/>
      <c r="E47" s="758"/>
      <c r="F47" s="759"/>
      <c r="G47" s="759"/>
      <c r="H47" s="759"/>
      <c r="I47" s="759"/>
      <c r="J47" s="760"/>
      <c r="K47" s="276"/>
    </row>
    <row r="48" spans="2:11" ht="15.75" x14ac:dyDescent="0.2">
      <c r="B48" s="277"/>
      <c r="K48" s="276"/>
    </row>
    <row r="49" spans="2:11" ht="15.75" x14ac:dyDescent="0.25">
      <c r="B49" s="751">
        <v>8</v>
      </c>
      <c r="C49" s="720"/>
      <c r="D49" s="79"/>
      <c r="E49" s="752" t="s">
        <v>788</v>
      </c>
      <c r="F49" s="753"/>
      <c r="G49" s="753"/>
      <c r="H49" s="753"/>
      <c r="I49" s="753"/>
      <c r="J49" s="754"/>
      <c r="K49" s="276"/>
    </row>
    <row r="50" spans="2:11" ht="15.75" x14ac:dyDescent="0.25">
      <c r="B50" s="751"/>
      <c r="C50" s="720"/>
      <c r="D50" s="79"/>
      <c r="E50" s="755"/>
      <c r="F50" s="756"/>
      <c r="G50" s="756"/>
      <c r="H50" s="756"/>
      <c r="I50" s="756"/>
      <c r="J50" s="757"/>
      <c r="K50" s="276"/>
    </row>
    <row r="51" spans="2:11" ht="15.75" x14ac:dyDescent="0.25">
      <c r="B51" s="751"/>
      <c r="C51" s="720"/>
      <c r="D51" s="79"/>
      <c r="E51" s="755"/>
      <c r="F51" s="756"/>
      <c r="G51" s="756"/>
      <c r="H51" s="756"/>
      <c r="I51" s="756"/>
      <c r="J51" s="757"/>
      <c r="K51" s="276"/>
    </row>
    <row r="52" spans="2:11" ht="15.75" x14ac:dyDescent="0.25">
      <c r="B52" s="751"/>
      <c r="C52" s="720"/>
      <c r="D52" s="79"/>
      <c r="E52" s="758"/>
      <c r="F52" s="759"/>
      <c r="G52" s="759"/>
      <c r="H52" s="759"/>
      <c r="I52" s="759"/>
      <c r="J52" s="760"/>
      <c r="K52" s="276"/>
    </row>
    <row r="53" spans="2:11" ht="15.75" x14ac:dyDescent="0.2">
      <c r="B53" s="277"/>
      <c r="K53" s="276"/>
    </row>
    <row r="54" spans="2:11" ht="15.75" x14ac:dyDescent="0.25">
      <c r="B54" s="751">
        <v>9</v>
      </c>
      <c r="C54" s="720"/>
      <c r="D54" s="79"/>
      <c r="E54" s="752" t="s">
        <v>788</v>
      </c>
      <c r="F54" s="753"/>
      <c r="G54" s="753"/>
      <c r="H54" s="753"/>
      <c r="I54" s="753"/>
      <c r="J54" s="754"/>
      <c r="K54" s="276"/>
    </row>
    <row r="55" spans="2:11" ht="15.75" x14ac:dyDescent="0.25">
      <c r="B55" s="751"/>
      <c r="C55" s="720"/>
      <c r="D55" s="79"/>
      <c r="E55" s="755"/>
      <c r="F55" s="756"/>
      <c r="G55" s="756"/>
      <c r="H55" s="756"/>
      <c r="I55" s="756"/>
      <c r="J55" s="757"/>
      <c r="K55" s="276"/>
    </row>
    <row r="56" spans="2:11" ht="15.75" x14ac:dyDescent="0.25">
      <c r="B56" s="751"/>
      <c r="C56" s="720"/>
      <c r="D56" s="79"/>
      <c r="E56" s="755"/>
      <c r="F56" s="756"/>
      <c r="G56" s="756"/>
      <c r="H56" s="756"/>
      <c r="I56" s="756"/>
      <c r="J56" s="757"/>
      <c r="K56" s="276"/>
    </row>
    <row r="57" spans="2:11" ht="15.75" x14ac:dyDescent="0.25">
      <c r="B57" s="751"/>
      <c r="C57" s="720"/>
      <c r="D57" s="79"/>
      <c r="E57" s="758"/>
      <c r="F57" s="759"/>
      <c r="G57" s="759"/>
      <c r="H57" s="759"/>
      <c r="I57" s="759"/>
      <c r="J57" s="760"/>
      <c r="K57" s="276"/>
    </row>
    <row r="58" spans="2:11" ht="15.75" x14ac:dyDescent="0.2">
      <c r="B58" s="277"/>
      <c r="K58" s="276"/>
    </row>
    <row r="59" spans="2:11" ht="15.75" x14ac:dyDescent="0.25">
      <c r="B59" s="751">
        <v>10</v>
      </c>
      <c r="C59" s="720"/>
      <c r="D59" s="79"/>
      <c r="E59" s="752" t="s">
        <v>788</v>
      </c>
      <c r="F59" s="753"/>
      <c r="G59" s="753"/>
      <c r="H59" s="753"/>
      <c r="I59" s="753"/>
      <c r="J59" s="754"/>
      <c r="K59" s="276"/>
    </row>
    <row r="60" spans="2:11" ht="15.75" x14ac:dyDescent="0.25">
      <c r="B60" s="751"/>
      <c r="C60" s="720"/>
      <c r="D60" s="79"/>
      <c r="E60" s="755"/>
      <c r="F60" s="756"/>
      <c r="G60" s="756"/>
      <c r="H60" s="756"/>
      <c r="I60" s="756"/>
      <c r="J60" s="757"/>
      <c r="K60" s="276"/>
    </row>
    <row r="61" spans="2:11" ht="15.75" x14ac:dyDescent="0.25">
      <c r="B61" s="751"/>
      <c r="C61" s="720"/>
      <c r="D61" s="79"/>
      <c r="E61" s="755"/>
      <c r="F61" s="756"/>
      <c r="G61" s="756"/>
      <c r="H61" s="756"/>
      <c r="I61" s="756"/>
      <c r="J61" s="757"/>
      <c r="K61" s="276"/>
    </row>
    <row r="62" spans="2:11" ht="15.75" x14ac:dyDescent="0.25">
      <c r="B62" s="751"/>
      <c r="C62" s="720"/>
      <c r="D62" s="79"/>
      <c r="E62" s="758"/>
      <c r="F62" s="759"/>
      <c r="G62" s="759"/>
      <c r="H62" s="759"/>
      <c r="I62" s="759"/>
      <c r="J62" s="760"/>
      <c r="K62" s="276"/>
    </row>
    <row r="63" spans="2:11" ht="13.5" thickBot="1" x14ac:dyDescent="0.25">
      <c r="B63" s="278"/>
      <c r="C63" s="279"/>
      <c r="D63" s="279"/>
      <c r="E63" s="279"/>
      <c r="F63" s="279"/>
      <c r="G63" s="279"/>
      <c r="H63" s="279"/>
      <c r="I63" s="279"/>
      <c r="J63" s="279"/>
      <c r="K63" s="280"/>
    </row>
  </sheetData>
  <sheetProtection algorithmName="SHA-512" hashValue="V1MwIkFBxwTgYSfxYFPULHA+4679Y1bY4Qz8syC0Q0BnFF133E9HBqtbiN74N8R8NLQTMswBOgg4Zlb+WR4Yxw==" saltValue="BR8786YynzcS+MdaquHVrw==" spinCount="100000" sheet="1" objects="1" scenarios="1"/>
  <mergeCells count="31">
    <mergeCell ref="B11:F11"/>
    <mergeCell ref="B14:B17"/>
    <mergeCell ref="C14:C17"/>
    <mergeCell ref="E14:J17"/>
    <mergeCell ref="B19:B22"/>
    <mergeCell ref="C19:C22"/>
    <mergeCell ref="E19:J22"/>
    <mergeCell ref="B24:B27"/>
    <mergeCell ref="C24:C27"/>
    <mergeCell ref="E24:J27"/>
    <mergeCell ref="B29:B32"/>
    <mergeCell ref="C29:C32"/>
    <mergeCell ref="E29:J32"/>
    <mergeCell ref="B34:B37"/>
    <mergeCell ref="C34:C37"/>
    <mergeCell ref="E34:J37"/>
    <mergeCell ref="B39:B42"/>
    <mergeCell ref="C39:C42"/>
    <mergeCell ref="E39:J42"/>
    <mergeCell ref="B44:B47"/>
    <mergeCell ref="C44:C47"/>
    <mergeCell ref="E44:J47"/>
    <mergeCell ref="B49:B52"/>
    <mergeCell ref="C49:C52"/>
    <mergeCell ref="E49:J52"/>
    <mergeCell ref="B54:B57"/>
    <mergeCell ref="C54:C57"/>
    <mergeCell ref="E54:J57"/>
    <mergeCell ref="B59:B62"/>
    <mergeCell ref="C59:C62"/>
    <mergeCell ref="E59:J62"/>
  </mergeCells>
  <hyperlinks>
    <hyperlink ref="A6" location="'תוכן עניינים'!A1" display="תוכן עניינים" xr:uid="{00000000-0004-0000-0900-000000000000}"/>
    <hyperlink ref="A8" location="'נספח א'!A1" display="נספח א" xr:uid="{00000000-0004-0000-0900-000001000000}"/>
    <hyperlink ref="A7" location="תזרים!A1" display="דוח תזרים מזומנים" xr:uid="{00000000-0004-0000-0900-000002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11"/>
  <dimension ref="A1:P324"/>
  <sheetViews>
    <sheetView showGridLines="0" rightToLeft="1" topLeftCell="A124" zoomScale="85" zoomScaleNormal="85" workbookViewId="0">
      <selection activeCell="D146" sqref="D146:J150"/>
    </sheetView>
  </sheetViews>
  <sheetFormatPr defaultColWidth="8" defaultRowHeight="15.75" x14ac:dyDescent="0.25"/>
  <cols>
    <col min="1" max="1" width="4.5" style="18" customWidth="1"/>
    <col min="2" max="2" width="9.625" style="284" customWidth="1"/>
    <col min="3" max="3" width="6.5" style="18" customWidth="1"/>
    <col min="4" max="4" width="14.125" style="18" customWidth="1"/>
    <col min="5" max="5" width="12" style="18" customWidth="1"/>
    <col min="6" max="6" width="17.25" style="18" customWidth="1"/>
    <col min="7" max="7" width="15.75" style="18" customWidth="1"/>
    <col min="8" max="8" width="12.75" style="18" customWidth="1"/>
    <col min="9" max="9" width="1.5" style="18" customWidth="1"/>
    <col min="10" max="10" width="18.5" style="18" customWidth="1"/>
    <col min="11" max="11" width="1.25" style="18" customWidth="1"/>
    <col min="12" max="12" width="3.125" style="18" customWidth="1"/>
    <col min="13" max="13" width="6.625" style="18" customWidth="1"/>
    <col min="14" max="14" width="13.25" style="18" customWidth="1"/>
    <col min="15" max="15" width="1.5" style="18" customWidth="1"/>
    <col min="16" max="16" width="12.75" style="18" customWidth="1"/>
    <col min="17" max="16384" width="8" style="18"/>
  </cols>
  <sheetData>
    <row r="1" spans="1:16" ht="31.5" x14ac:dyDescent="0.5">
      <c r="A1" s="11" t="s">
        <v>776</v>
      </c>
      <c r="B1" s="5"/>
      <c r="C1" s="12">
        <f>הנחיות!C1</f>
        <v>2024</v>
      </c>
      <c r="D1" s="5"/>
      <c r="E1" s="5"/>
      <c r="F1" s="5"/>
      <c r="G1" s="5"/>
      <c r="H1" s="298"/>
      <c r="I1" s="73"/>
      <c r="J1" s="73"/>
      <c r="K1" s="6"/>
      <c r="L1" s="6"/>
      <c r="M1" s="290"/>
      <c r="N1" s="290"/>
      <c r="O1" s="4"/>
      <c r="P1" s="79"/>
    </row>
    <row r="2" spans="1:16" ht="31.5" x14ac:dyDescent="0.5">
      <c r="A2" s="13" t="s">
        <v>772</v>
      </c>
      <c r="B2" s="6"/>
      <c r="C2" s="15" t="s">
        <v>814</v>
      </c>
      <c r="D2" s="6"/>
      <c r="E2" s="6"/>
      <c r="F2" s="6"/>
      <c r="G2" s="6"/>
      <c r="H2" s="299"/>
      <c r="I2" s="73"/>
      <c r="J2" s="73"/>
      <c r="K2" s="6"/>
      <c r="L2" s="6"/>
      <c r="M2" s="4"/>
      <c r="N2" s="4"/>
      <c r="O2" s="4"/>
      <c r="P2" s="79"/>
    </row>
    <row r="3" spans="1:16" ht="16.5" customHeight="1" x14ac:dyDescent="0.5">
      <c r="A3" s="7"/>
      <c r="B3" s="6"/>
      <c r="C3" s="6"/>
      <c r="D3" s="6"/>
      <c r="E3" s="6"/>
      <c r="F3" s="6"/>
      <c r="G3" s="6"/>
      <c r="H3" s="299"/>
      <c r="I3" s="73"/>
      <c r="J3" s="73"/>
      <c r="K3" s="6"/>
      <c r="L3" s="6"/>
      <c r="M3" s="4"/>
      <c r="N3" s="4"/>
      <c r="O3" s="4"/>
      <c r="P3" s="79"/>
    </row>
    <row r="4" spans="1:16" ht="31.5" x14ac:dyDescent="0.5">
      <c r="A4" s="169" t="s">
        <v>773</v>
      </c>
      <c r="B4" s="170"/>
      <c r="C4" s="171" t="str">
        <f>IF('פרטי התאגיד'!$G$9=0, "", 'פרטי התאגיד'!$G$9)</f>
        <v>פלגי מוצקין בע"מ</v>
      </c>
      <c r="D4" s="172"/>
      <c r="E4" s="172"/>
      <c r="F4" s="172"/>
      <c r="G4" s="172"/>
      <c r="H4" s="300"/>
      <c r="I4" s="174"/>
      <c r="J4" s="174"/>
      <c r="K4" s="172"/>
      <c r="L4" s="201"/>
      <c r="M4" s="4"/>
      <c r="N4" s="4"/>
      <c r="O4" s="4"/>
      <c r="P4" s="79"/>
    </row>
    <row r="5" spans="1:16" ht="16.5" customHeight="1" x14ac:dyDescent="0.25">
      <c r="A5" s="4"/>
      <c r="B5" s="4"/>
      <c r="C5" s="4"/>
      <c r="D5" s="4"/>
      <c r="E5" s="4"/>
      <c r="F5" s="4"/>
      <c r="G5" s="4"/>
      <c r="H5" s="4"/>
      <c r="I5" s="4"/>
      <c r="J5" s="4"/>
      <c r="K5" s="4"/>
      <c r="L5" s="4"/>
      <c r="M5" s="4"/>
      <c r="N5" s="4"/>
      <c r="O5" s="4"/>
      <c r="P5" s="79"/>
    </row>
    <row r="6" spans="1:16" ht="21.75" customHeight="1" x14ac:dyDescent="0.3">
      <c r="A6" s="30" t="s">
        <v>1</v>
      </c>
      <c r="B6" s="30"/>
    </row>
    <row r="7" spans="1:16" ht="16.5" thickBot="1" x14ac:dyDescent="0.3"/>
    <row r="8" spans="1:16" x14ac:dyDescent="0.25">
      <c r="B8" s="551"/>
      <c r="C8" s="307"/>
      <c r="D8" s="307"/>
      <c r="E8" s="307"/>
      <c r="F8" s="307"/>
      <c r="G8" s="307"/>
      <c r="H8" s="307"/>
      <c r="I8" s="307"/>
      <c r="J8" s="307"/>
      <c r="K8" s="307"/>
      <c r="L8" s="308"/>
    </row>
    <row r="9" spans="1:16" s="293" customFormat="1" ht="18.75" x14ac:dyDescent="0.3">
      <c r="B9" s="309" t="s">
        <v>206</v>
      </c>
      <c r="C9" s="365" t="s">
        <v>207</v>
      </c>
      <c r="D9" s="295" t="s">
        <v>208</v>
      </c>
      <c r="E9" s="240"/>
      <c r="F9" s="552"/>
      <c r="G9" s="552"/>
      <c r="H9" s="552"/>
      <c r="I9" s="552"/>
      <c r="J9" s="552"/>
      <c r="K9" s="296"/>
      <c r="L9" s="310"/>
    </row>
    <row r="10" spans="1:16" ht="18.75" x14ac:dyDescent="0.3">
      <c r="B10" s="553"/>
      <c r="C10" s="162"/>
      <c r="D10" s="215"/>
      <c r="F10" s="82"/>
      <c r="G10" s="82"/>
      <c r="H10" s="82"/>
      <c r="I10" s="82"/>
      <c r="J10" s="82"/>
      <c r="K10" s="82"/>
      <c r="L10" s="231"/>
    </row>
    <row r="11" spans="1:16" ht="18.75" x14ac:dyDescent="0.3">
      <c r="B11" s="553"/>
      <c r="C11" s="162"/>
      <c r="D11" s="784" t="s">
        <v>209</v>
      </c>
      <c r="E11" s="784"/>
      <c r="F11" s="645">
        <v>39987</v>
      </c>
      <c r="G11" s="554"/>
      <c r="H11" s="82"/>
      <c r="I11" s="82"/>
      <c r="J11" s="82"/>
      <c r="K11" s="82"/>
      <c r="L11" s="231"/>
    </row>
    <row r="12" spans="1:16" ht="18.75" x14ac:dyDescent="0.3">
      <c r="B12" s="553"/>
      <c r="C12" s="162"/>
      <c r="D12" s="215"/>
      <c r="F12" s="82"/>
      <c r="H12" s="82"/>
      <c r="I12" s="82"/>
      <c r="J12" s="82"/>
      <c r="K12" s="82"/>
      <c r="L12" s="231"/>
    </row>
    <row r="13" spans="1:16" ht="18.75" x14ac:dyDescent="0.3">
      <c r="B13" s="553"/>
      <c r="C13" s="162"/>
      <c r="D13" s="784" t="s">
        <v>210</v>
      </c>
      <c r="E13" s="784"/>
      <c r="F13" s="645">
        <v>39979</v>
      </c>
      <c r="G13" s="554"/>
      <c r="H13" s="82"/>
      <c r="I13" s="82"/>
      <c r="J13" s="82"/>
      <c r="K13" s="82"/>
      <c r="L13" s="231"/>
    </row>
    <row r="14" spans="1:16" ht="18.75" x14ac:dyDescent="0.3">
      <c r="B14" s="553"/>
      <c r="C14" s="162"/>
      <c r="D14" s="215"/>
      <c r="F14" s="82"/>
      <c r="G14" s="82"/>
      <c r="H14" s="82"/>
      <c r="I14" s="82"/>
      <c r="J14" s="82"/>
      <c r="K14" s="82"/>
      <c r="L14" s="231"/>
    </row>
    <row r="15" spans="1:16" ht="18.75" x14ac:dyDescent="0.3">
      <c r="B15" s="553"/>
      <c r="C15" s="162"/>
      <c r="D15" s="784" t="s">
        <v>211</v>
      </c>
      <c r="E15" s="784"/>
      <c r="F15" s="645">
        <v>39995</v>
      </c>
      <c r="G15" s="82"/>
      <c r="H15" s="82"/>
      <c r="I15" s="82"/>
      <c r="J15" s="82"/>
      <c r="K15" s="82"/>
      <c r="L15" s="231"/>
    </row>
    <row r="16" spans="1:16" ht="18.75" x14ac:dyDescent="0.3">
      <c r="B16" s="553"/>
      <c r="C16" s="162"/>
      <c r="D16" s="215"/>
      <c r="E16" s="215"/>
      <c r="F16" s="82"/>
      <c r="G16" s="82"/>
      <c r="H16" s="82"/>
      <c r="I16" s="82"/>
      <c r="J16" s="82"/>
      <c r="K16" s="82"/>
      <c r="L16" s="231"/>
    </row>
    <row r="17" spans="2:13" ht="18.75" x14ac:dyDescent="0.3">
      <c r="B17" s="553"/>
      <c r="C17" s="162"/>
      <c r="D17" s="239" t="s">
        <v>808</v>
      </c>
      <c r="E17" s="215"/>
      <c r="F17" s="773" t="s">
        <v>878</v>
      </c>
      <c r="G17" s="773"/>
      <c r="H17" s="773"/>
      <c r="I17" s="773"/>
      <c r="J17" s="773"/>
      <c r="K17" s="773"/>
      <c r="L17" s="231"/>
    </row>
    <row r="18" spans="2:13" ht="18.75" x14ac:dyDescent="0.3">
      <c r="B18" s="553"/>
      <c r="C18" s="162"/>
      <c r="D18" s="215"/>
      <c r="E18" s="215"/>
      <c r="F18" s="773"/>
      <c r="G18" s="773"/>
      <c r="H18" s="773"/>
      <c r="I18" s="773"/>
      <c r="J18" s="773"/>
      <c r="K18" s="773"/>
      <c r="L18" s="231"/>
    </row>
    <row r="19" spans="2:13" ht="18.75" x14ac:dyDescent="0.3">
      <c r="B19" s="553"/>
      <c r="C19" s="162"/>
      <c r="D19" s="215"/>
      <c r="E19" s="215"/>
      <c r="F19" s="773"/>
      <c r="G19" s="773"/>
      <c r="H19" s="773"/>
      <c r="I19" s="773"/>
      <c r="J19" s="773"/>
      <c r="K19" s="773"/>
      <c r="L19" s="231"/>
    </row>
    <row r="20" spans="2:13" ht="18.75" x14ac:dyDescent="0.3">
      <c r="B20" s="553"/>
      <c r="C20" s="162"/>
      <c r="D20" s="215"/>
      <c r="E20" s="215"/>
      <c r="F20" s="773"/>
      <c r="G20" s="773"/>
      <c r="H20" s="773"/>
      <c r="I20" s="773"/>
      <c r="J20" s="773"/>
      <c r="K20" s="773"/>
      <c r="L20" s="231"/>
    </row>
    <row r="21" spans="2:13" ht="18.75" x14ac:dyDescent="0.3">
      <c r="B21" s="553"/>
      <c r="C21" s="162"/>
      <c r="D21" s="215"/>
      <c r="E21" s="215"/>
      <c r="F21" s="773"/>
      <c r="G21" s="773"/>
      <c r="H21" s="773"/>
      <c r="I21" s="773"/>
      <c r="J21" s="773"/>
      <c r="K21" s="773"/>
      <c r="L21" s="231"/>
    </row>
    <row r="22" spans="2:13" ht="18.75" x14ac:dyDescent="0.3">
      <c r="B22" s="553"/>
      <c r="C22" s="162"/>
      <c r="D22" s="215"/>
      <c r="E22" s="215"/>
      <c r="F22" s="773"/>
      <c r="G22" s="773"/>
      <c r="H22" s="773"/>
      <c r="I22" s="773"/>
      <c r="J22" s="773"/>
      <c r="K22" s="773"/>
      <c r="L22" s="231"/>
    </row>
    <row r="23" spans="2:13" ht="18.75" x14ac:dyDescent="0.3">
      <c r="B23" s="553"/>
      <c r="C23" s="162"/>
      <c r="D23" s="215"/>
      <c r="E23" s="215"/>
      <c r="F23" s="773"/>
      <c r="G23" s="773"/>
      <c r="H23" s="773"/>
      <c r="I23" s="773"/>
      <c r="J23" s="773"/>
      <c r="K23" s="773"/>
      <c r="L23" s="231"/>
    </row>
    <row r="24" spans="2:13" ht="18.75" x14ac:dyDescent="0.3">
      <c r="B24" s="553"/>
      <c r="C24" s="162"/>
      <c r="D24" s="215"/>
      <c r="E24" s="215"/>
      <c r="F24" s="773"/>
      <c r="G24" s="773"/>
      <c r="H24" s="773"/>
      <c r="I24" s="773"/>
      <c r="J24" s="773"/>
      <c r="K24" s="773"/>
      <c r="L24" s="231"/>
    </row>
    <row r="25" spans="2:13" ht="18.75" x14ac:dyDescent="0.3">
      <c r="B25" s="553"/>
      <c r="C25" s="162"/>
      <c r="D25" s="215"/>
      <c r="E25" s="215"/>
      <c r="F25" s="284"/>
      <c r="G25" s="284"/>
      <c r="H25" s="284"/>
      <c r="I25" s="284"/>
      <c r="J25" s="284"/>
      <c r="K25" s="284"/>
      <c r="L25" s="231"/>
    </row>
    <row r="26" spans="2:13" s="293" customFormat="1" ht="18.75" x14ac:dyDescent="0.3">
      <c r="B26" s="309" t="s">
        <v>212</v>
      </c>
      <c r="C26" s="366" t="s">
        <v>207</v>
      </c>
      <c r="D26" s="295" t="s">
        <v>213</v>
      </c>
      <c r="E26" s="240"/>
      <c r="F26" s="555"/>
      <c r="G26" s="555"/>
      <c r="H26" s="555"/>
      <c r="I26" s="555"/>
      <c r="J26" s="555"/>
      <c r="K26" s="556"/>
      <c r="L26" s="310"/>
      <c r="M26" s="18"/>
    </row>
    <row r="27" spans="2:13" ht="18.75" x14ac:dyDescent="0.3">
      <c r="B27" s="553"/>
      <c r="C27" s="162"/>
      <c r="G27" s="284"/>
      <c r="H27" s="284"/>
      <c r="I27" s="284"/>
      <c r="J27" s="284"/>
      <c r="K27" s="284"/>
      <c r="L27" s="231"/>
    </row>
    <row r="28" spans="2:13" ht="18.75" x14ac:dyDescent="0.3">
      <c r="B28" s="553"/>
      <c r="C28" s="162"/>
      <c r="D28" s="785" t="s">
        <v>214</v>
      </c>
      <c r="E28" s="785"/>
      <c r="F28" s="284"/>
      <c r="G28" s="284"/>
      <c r="H28" s="284"/>
      <c r="I28" s="284"/>
      <c r="J28" s="284"/>
      <c r="K28" s="284"/>
      <c r="L28" s="231"/>
    </row>
    <row r="29" spans="2:13" ht="18.75" x14ac:dyDescent="0.3">
      <c r="B29" s="553"/>
      <c r="C29" s="162"/>
      <c r="D29" s="786" t="s">
        <v>215</v>
      </c>
      <c r="E29" s="786"/>
      <c r="F29" s="773" t="s">
        <v>43</v>
      </c>
      <c r="G29" s="773"/>
      <c r="H29" s="773"/>
      <c r="I29" s="773"/>
      <c r="J29" s="773"/>
      <c r="K29" s="773"/>
      <c r="L29" s="231"/>
    </row>
    <row r="30" spans="2:13" ht="18.75" x14ac:dyDescent="0.3">
      <c r="B30" s="553"/>
      <c r="C30" s="162"/>
      <c r="D30" s="786" t="s">
        <v>216</v>
      </c>
      <c r="E30" s="786"/>
      <c r="F30" s="773" t="s">
        <v>879</v>
      </c>
      <c r="G30" s="773"/>
      <c r="H30" s="773"/>
      <c r="I30" s="773"/>
      <c r="J30" s="773"/>
      <c r="K30" s="773"/>
      <c r="L30" s="231"/>
    </row>
    <row r="31" spans="2:13" ht="18.75" x14ac:dyDescent="0.3">
      <c r="B31" s="553"/>
      <c r="C31" s="162"/>
      <c r="D31" s="786" t="s">
        <v>217</v>
      </c>
      <c r="E31" s="786"/>
      <c r="F31" s="773" t="s">
        <v>788</v>
      </c>
      <c r="G31" s="773"/>
      <c r="H31" s="773"/>
      <c r="I31" s="773"/>
      <c r="J31" s="773"/>
      <c r="K31" s="773"/>
      <c r="L31" s="231"/>
    </row>
    <row r="32" spans="2:13" ht="18.75" x14ac:dyDescent="0.3">
      <c r="B32" s="553"/>
      <c r="C32" s="162"/>
      <c r="D32" s="786" t="s">
        <v>218</v>
      </c>
      <c r="E32" s="786"/>
      <c r="F32" s="773" t="s">
        <v>880</v>
      </c>
      <c r="G32" s="773"/>
      <c r="H32" s="773"/>
      <c r="I32" s="773"/>
      <c r="J32" s="773"/>
      <c r="K32" s="773"/>
      <c r="L32" s="231"/>
    </row>
    <row r="33" spans="2:12" ht="18.75" x14ac:dyDescent="0.3">
      <c r="B33" s="553"/>
      <c r="C33" s="162"/>
      <c r="D33" s="786" t="s">
        <v>826</v>
      </c>
      <c r="E33" s="786"/>
      <c r="F33" s="773" t="s">
        <v>881</v>
      </c>
      <c r="G33" s="773"/>
      <c r="H33" s="773"/>
      <c r="I33" s="773"/>
      <c r="J33" s="773"/>
      <c r="K33" s="773"/>
      <c r="L33" s="231"/>
    </row>
    <row r="34" spans="2:12" ht="18.75" x14ac:dyDescent="0.3">
      <c r="B34" s="553"/>
      <c r="C34" s="162"/>
      <c r="D34" s="786" t="s">
        <v>219</v>
      </c>
      <c r="E34" s="786"/>
      <c r="F34" s="773" t="s">
        <v>882</v>
      </c>
      <c r="G34" s="773"/>
      <c r="H34" s="773"/>
      <c r="I34" s="773"/>
      <c r="J34" s="773"/>
      <c r="K34" s="773"/>
      <c r="L34" s="231"/>
    </row>
    <row r="35" spans="2:12" ht="18.75" x14ac:dyDescent="0.3">
      <c r="B35" s="553"/>
      <c r="C35" s="162"/>
      <c r="D35" s="787" t="s">
        <v>884</v>
      </c>
      <c r="E35" s="787"/>
      <c r="F35" s="773" t="s">
        <v>883</v>
      </c>
      <c r="G35" s="773"/>
      <c r="H35" s="773"/>
      <c r="I35" s="773"/>
      <c r="J35" s="773"/>
      <c r="K35" s="773"/>
      <c r="L35" s="231"/>
    </row>
    <row r="36" spans="2:12" ht="18.75" x14ac:dyDescent="0.3">
      <c r="B36" s="553"/>
      <c r="C36" s="162"/>
      <c r="D36" s="787" t="s">
        <v>9</v>
      </c>
      <c r="E36" s="787"/>
      <c r="F36" s="773" t="s">
        <v>788</v>
      </c>
      <c r="G36" s="773"/>
      <c r="H36" s="773"/>
      <c r="I36" s="773"/>
      <c r="J36" s="773"/>
      <c r="K36" s="773"/>
      <c r="L36" s="231"/>
    </row>
    <row r="37" spans="2:12" ht="12.75" customHeight="1" x14ac:dyDescent="0.3">
      <c r="B37" s="553"/>
      <c r="C37" s="162"/>
      <c r="L37" s="231"/>
    </row>
    <row r="38" spans="2:12" s="293" customFormat="1" ht="18.75" x14ac:dyDescent="0.3">
      <c r="B38" s="309" t="s">
        <v>220</v>
      </c>
      <c r="C38" s="366" t="s">
        <v>207</v>
      </c>
      <c r="D38" s="295" t="s">
        <v>221</v>
      </c>
      <c r="E38" s="240"/>
      <c r="F38" s="552"/>
      <c r="G38" s="552"/>
      <c r="H38" s="552"/>
      <c r="I38" s="552"/>
      <c r="J38" s="552"/>
      <c r="L38" s="231"/>
    </row>
    <row r="39" spans="2:12" ht="18.75" x14ac:dyDescent="0.3">
      <c r="B39" s="553"/>
      <c r="C39" s="162"/>
      <c r="D39" s="215"/>
      <c r="E39" s="215"/>
      <c r="G39" s="82"/>
      <c r="H39" s="82"/>
      <c r="I39" s="82"/>
      <c r="J39" s="82"/>
      <c r="K39" s="82"/>
      <c r="L39" s="231"/>
    </row>
    <row r="40" spans="2:12" s="557" customFormat="1" ht="18.75" x14ac:dyDescent="0.2">
      <c r="B40" s="558"/>
      <c r="C40" s="367"/>
      <c r="D40" s="559" t="s">
        <v>796</v>
      </c>
      <c r="E40" s="560"/>
      <c r="K40" s="561"/>
      <c r="L40" s="562"/>
    </row>
    <row r="41" spans="2:12" s="557" customFormat="1" ht="18.75" x14ac:dyDescent="0.2">
      <c r="B41" s="558"/>
      <c r="C41" s="367"/>
      <c r="D41" s="646" t="s">
        <v>829</v>
      </c>
      <c r="K41" s="561"/>
      <c r="L41" s="562"/>
    </row>
    <row r="42" spans="2:12" s="557" customFormat="1" ht="18.75" x14ac:dyDescent="0.2">
      <c r="B42" s="558"/>
      <c r="C42" s="367"/>
      <c r="D42" s="773" t="s">
        <v>222</v>
      </c>
      <c r="E42" s="773"/>
      <c r="F42" s="773"/>
      <c r="G42" s="773"/>
      <c r="H42" s="773"/>
      <c r="I42" s="773"/>
      <c r="J42" s="773"/>
      <c r="K42" s="561"/>
      <c r="L42" s="562"/>
    </row>
    <row r="43" spans="2:12" s="557" customFormat="1" ht="18.75" x14ac:dyDescent="0.2">
      <c r="B43" s="558"/>
      <c r="C43" s="367"/>
      <c r="D43" s="773"/>
      <c r="E43" s="773"/>
      <c r="F43" s="773"/>
      <c r="G43" s="773"/>
      <c r="H43" s="773"/>
      <c r="I43" s="773"/>
      <c r="J43" s="773"/>
      <c r="K43" s="561"/>
      <c r="L43" s="562"/>
    </row>
    <row r="44" spans="2:12" s="557" customFormat="1" ht="18.75" x14ac:dyDescent="0.2">
      <c r="B44" s="558"/>
      <c r="C44" s="367"/>
      <c r="D44" s="773"/>
      <c r="E44" s="773"/>
      <c r="F44" s="773"/>
      <c r="G44" s="773"/>
      <c r="H44" s="773"/>
      <c r="I44" s="773"/>
      <c r="J44" s="773"/>
      <c r="K44" s="561"/>
      <c r="L44" s="562"/>
    </row>
    <row r="45" spans="2:12" s="557" customFormat="1" ht="18.75" x14ac:dyDescent="0.2">
      <c r="B45" s="558"/>
      <c r="C45" s="367"/>
      <c r="D45" s="773"/>
      <c r="E45" s="773"/>
      <c r="F45" s="773"/>
      <c r="G45" s="773"/>
      <c r="H45" s="773"/>
      <c r="I45" s="773"/>
      <c r="J45" s="773"/>
      <c r="K45" s="561"/>
      <c r="L45" s="562"/>
    </row>
    <row r="46" spans="2:12" s="557" customFormat="1" ht="18.75" x14ac:dyDescent="0.2">
      <c r="B46" s="558"/>
      <c r="C46" s="367"/>
      <c r="D46" s="773"/>
      <c r="E46" s="773"/>
      <c r="F46" s="773"/>
      <c r="G46" s="773"/>
      <c r="H46" s="773"/>
      <c r="I46" s="773"/>
      <c r="J46" s="773"/>
      <c r="K46" s="561"/>
      <c r="L46" s="562"/>
    </row>
    <row r="47" spans="2:12" s="557" customFormat="1" ht="18.75" x14ac:dyDescent="0.2">
      <c r="B47" s="558"/>
      <c r="C47" s="367"/>
      <c r="D47" s="559"/>
      <c r="E47" s="559"/>
      <c r="G47" s="561"/>
      <c r="H47" s="561"/>
      <c r="I47" s="561"/>
      <c r="J47" s="561"/>
      <c r="K47" s="561"/>
      <c r="L47" s="562"/>
    </row>
    <row r="48" spans="2:12" s="557" customFormat="1" ht="18.75" x14ac:dyDescent="0.2">
      <c r="B48" s="558"/>
      <c r="C48" s="367"/>
      <c r="D48" s="563" t="s">
        <v>797</v>
      </c>
      <c r="K48" s="561"/>
      <c r="L48" s="562"/>
    </row>
    <row r="49" spans="2:12" s="557" customFormat="1" ht="9" customHeight="1" x14ac:dyDescent="0.2">
      <c r="B49" s="558"/>
      <c r="C49" s="367"/>
      <c r="D49" s="563"/>
      <c r="K49" s="561"/>
      <c r="L49" s="562"/>
    </row>
    <row r="50" spans="2:12" s="557" customFormat="1" ht="18.75" x14ac:dyDescent="0.2">
      <c r="B50" s="558"/>
      <c r="C50" s="367"/>
      <c r="D50" s="563" t="s">
        <v>809</v>
      </c>
      <c r="K50" s="561"/>
      <c r="L50" s="562"/>
    </row>
    <row r="51" spans="2:12" s="557" customFormat="1" ht="18.75" x14ac:dyDescent="0.2">
      <c r="B51" s="558"/>
      <c r="C51" s="367"/>
      <c r="D51" s="646" t="s">
        <v>829</v>
      </c>
      <c r="K51" s="561"/>
      <c r="L51" s="562"/>
    </row>
    <row r="52" spans="2:12" s="557" customFormat="1" ht="18.75" x14ac:dyDescent="0.2">
      <c r="B52" s="558"/>
      <c r="C52" s="367"/>
      <c r="D52" s="773" t="s">
        <v>223</v>
      </c>
      <c r="E52" s="773"/>
      <c r="F52" s="773"/>
      <c r="G52" s="773"/>
      <c r="H52" s="773"/>
      <c r="I52" s="773"/>
      <c r="J52" s="773"/>
      <c r="K52" s="561"/>
      <c r="L52" s="562"/>
    </row>
    <row r="53" spans="2:12" s="557" customFormat="1" ht="18.75" x14ac:dyDescent="0.2">
      <c r="B53" s="558"/>
      <c r="C53" s="367"/>
      <c r="D53" s="773"/>
      <c r="E53" s="773"/>
      <c r="F53" s="773"/>
      <c r="G53" s="773"/>
      <c r="H53" s="773"/>
      <c r="I53" s="773"/>
      <c r="J53" s="773"/>
      <c r="K53" s="561"/>
      <c r="L53" s="562"/>
    </row>
    <row r="54" spans="2:12" s="557" customFormat="1" ht="18.75" x14ac:dyDescent="0.2">
      <c r="B54" s="558"/>
      <c r="C54" s="367"/>
      <c r="D54" s="773"/>
      <c r="E54" s="773"/>
      <c r="F54" s="773"/>
      <c r="G54" s="773"/>
      <c r="H54" s="773"/>
      <c r="I54" s="773"/>
      <c r="J54" s="773"/>
      <c r="K54" s="561"/>
      <c r="L54" s="562"/>
    </row>
    <row r="55" spans="2:12" s="557" customFormat="1" ht="18.75" x14ac:dyDescent="0.2">
      <c r="B55" s="558"/>
      <c r="C55" s="367"/>
      <c r="D55" s="773"/>
      <c r="E55" s="773"/>
      <c r="F55" s="773"/>
      <c r="G55" s="773"/>
      <c r="H55" s="773"/>
      <c r="I55" s="773"/>
      <c r="J55" s="773"/>
      <c r="K55" s="561"/>
      <c r="L55" s="562"/>
    </row>
    <row r="56" spans="2:12" s="557" customFormat="1" ht="18.75" x14ac:dyDescent="0.2">
      <c r="B56" s="558"/>
      <c r="C56" s="367"/>
      <c r="D56" s="773"/>
      <c r="E56" s="773"/>
      <c r="F56" s="773"/>
      <c r="G56" s="773"/>
      <c r="H56" s="773"/>
      <c r="I56" s="773"/>
      <c r="J56" s="773"/>
      <c r="K56" s="561"/>
      <c r="L56" s="562"/>
    </row>
    <row r="57" spans="2:12" s="557" customFormat="1" ht="18.75" x14ac:dyDescent="0.2">
      <c r="B57" s="558"/>
      <c r="C57" s="367"/>
      <c r="D57" s="559"/>
      <c r="E57" s="559"/>
      <c r="G57" s="561"/>
      <c r="H57" s="561"/>
      <c r="I57" s="561"/>
      <c r="J57" s="561"/>
      <c r="K57" s="561"/>
      <c r="L57" s="562"/>
    </row>
    <row r="58" spans="2:12" s="557" customFormat="1" ht="18.75" x14ac:dyDescent="0.2">
      <c r="B58" s="558"/>
      <c r="C58" s="367"/>
      <c r="D58" s="559"/>
      <c r="E58" s="559"/>
      <c r="G58" s="561"/>
      <c r="H58" s="561"/>
      <c r="I58" s="561"/>
      <c r="J58" s="561"/>
      <c r="K58" s="561"/>
      <c r="L58" s="562"/>
    </row>
    <row r="59" spans="2:12" s="557" customFormat="1" ht="18.75" x14ac:dyDescent="0.2">
      <c r="B59" s="558"/>
      <c r="C59" s="367"/>
      <c r="D59" s="563" t="s">
        <v>798</v>
      </c>
      <c r="L59" s="562"/>
    </row>
    <row r="60" spans="2:12" s="557" customFormat="1" ht="18.75" x14ac:dyDescent="0.2">
      <c r="B60" s="558"/>
      <c r="C60" s="367"/>
      <c r="D60" s="563"/>
      <c r="L60" s="562"/>
    </row>
    <row r="61" spans="2:12" s="557" customFormat="1" ht="18.75" x14ac:dyDescent="0.2">
      <c r="B61" s="558"/>
      <c r="C61" s="367"/>
      <c r="D61" s="563" t="s">
        <v>224</v>
      </c>
      <c r="L61" s="562"/>
    </row>
    <row r="62" spans="2:12" s="557" customFormat="1" ht="18.75" x14ac:dyDescent="0.2">
      <c r="B62" s="558"/>
      <c r="C62" s="367"/>
      <c r="D62" s="563" t="s">
        <v>225</v>
      </c>
      <c r="L62" s="562"/>
    </row>
    <row r="63" spans="2:12" s="557" customFormat="1" ht="19.149999999999999" customHeight="1" x14ac:dyDescent="0.2">
      <c r="B63" s="558"/>
      <c r="C63" s="367"/>
      <c r="D63" s="646" t="s">
        <v>829</v>
      </c>
      <c r="L63" s="562"/>
    </row>
    <row r="64" spans="2:12" s="557" customFormat="1" ht="18.399999999999999" customHeight="1" x14ac:dyDescent="0.2">
      <c r="B64" s="558"/>
      <c r="C64" s="367"/>
      <c r="D64" s="781" t="s">
        <v>833</v>
      </c>
      <c r="E64" s="782"/>
      <c r="F64" s="782"/>
      <c r="G64" s="782"/>
      <c r="H64" s="782"/>
      <c r="I64" s="782"/>
      <c r="J64" s="783"/>
      <c r="L64" s="562"/>
    </row>
    <row r="65" spans="2:12" s="557" customFormat="1" ht="18.75" x14ac:dyDescent="0.2">
      <c r="B65" s="558"/>
      <c r="C65" s="367"/>
      <c r="D65" s="763"/>
      <c r="E65" s="764"/>
      <c r="F65" s="764"/>
      <c r="G65" s="764"/>
      <c r="H65" s="764"/>
      <c r="I65" s="764"/>
      <c r="J65" s="765"/>
      <c r="L65" s="562"/>
    </row>
    <row r="66" spans="2:12" s="557" customFormat="1" ht="18.75" x14ac:dyDescent="0.2">
      <c r="B66" s="558"/>
      <c r="C66" s="367"/>
      <c r="D66" s="763"/>
      <c r="E66" s="764"/>
      <c r="F66" s="764"/>
      <c r="G66" s="764"/>
      <c r="H66" s="764"/>
      <c r="I66" s="764"/>
      <c r="J66" s="765"/>
      <c r="L66" s="562"/>
    </row>
    <row r="67" spans="2:12" s="557" customFormat="1" ht="18.75" x14ac:dyDescent="0.2">
      <c r="B67" s="558"/>
      <c r="C67" s="367"/>
      <c r="D67" s="763"/>
      <c r="E67" s="764"/>
      <c r="F67" s="764"/>
      <c r="G67" s="764"/>
      <c r="H67" s="764"/>
      <c r="I67" s="764"/>
      <c r="J67" s="765"/>
      <c r="L67" s="562"/>
    </row>
    <row r="68" spans="2:12" s="557" customFormat="1" ht="18.75" x14ac:dyDescent="0.2">
      <c r="B68" s="558"/>
      <c r="C68" s="367"/>
      <c r="D68" s="763"/>
      <c r="E68" s="764"/>
      <c r="F68" s="764"/>
      <c r="G68" s="764"/>
      <c r="H68" s="764"/>
      <c r="I68" s="764"/>
      <c r="J68" s="765"/>
      <c r="L68" s="562"/>
    </row>
    <row r="69" spans="2:12" s="557" customFormat="1" ht="18.75" x14ac:dyDescent="0.2">
      <c r="B69" s="558"/>
      <c r="C69" s="367"/>
      <c r="D69" s="763"/>
      <c r="E69" s="764"/>
      <c r="F69" s="764"/>
      <c r="G69" s="764"/>
      <c r="H69" s="764"/>
      <c r="I69" s="764"/>
      <c r="J69" s="765"/>
      <c r="L69" s="562"/>
    </row>
    <row r="70" spans="2:12" s="557" customFormat="1" ht="18.75" x14ac:dyDescent="0.2">
      <c r="B70" s="558"/>
      <c r="C70" s="367"/>
      <c r="D70" s="763"/>
      <c r="E70" s="764"/>
      <c r="F70" s="764"/>
      <c r="G70" s="764"/>
      <c r="H70" s="764"/>
      <c r="I70" s="764"/>
      <c r="J70" s="765"/>
      <c r="L70" s="562"/>
    </row>
    <row r="71" spans="2:12" s="557" customFormat="1" ht="18.75" x14ac:dyDescent="0.2">
      <c r="B71" s="558"/>
      <c r="C71" s="367"/>
      <c r="D71" s="763"/>
      <c r="E71" s="764"/>
      <c r="F71" s="764"/>
      <c r="G71" s="764"/>
      <c r="H71" s="764"/>
      <c r="I71" s="764"/>
      <c r="J71" s="765"/>
      <c r="L71" s="562"/>
    </row>
    <row r="72" spans="2:12" s="557" customFormat="1" ht="18.75" x14ac:dyDescent="0.2">
      <c r="B72" s="558"/>
      <c r="C72" s="367"/>
      <c r="D72" s="763"/>
      <c r="E72" s="764"/>
      <c r="F72" s="764"/>
      <c r="G72" s="764"/>
      <c r="H72" s="764"/>
      <c r="I72" s="764"/>
      <c r="J72" s="765"/>
      <c r="L72" s="562"/>
    </row>
    <row r="73" spans="2:12" s="557" customFormat="1" ht="18.75" x14ac:dyDescent="0.2">
      <c r="B73" s="558"/>
      <c r="C73" s="367"/>
      <c r="D73" s="763"/>
      <c r="E73" s="764"/>
      <c r="F73" s="764"/>
      <c r="G73" s="764"/>
      <c r="H73" s="764"/>
      <c r="I73" s="764"/>
      <c r="J73" s="765"/>
      <c r="L73" s="562"/>
    </row>
    <row r="74" spans="2:12" s="557" customFormat="1" ht="18.75" x14ac:dyDescent="0.2">
      <c r="B74" s="558"/>
      <c r="C74" s="367"/>
      <c r="D74" s="763"/>
      <c r="E74" s="764"/>
      <c r="F74" s="764"/>
      <c r="G74" s="764"/>
      <c r="H74" s="764"/>
      <c r="I74" s="764"/>
      <c r="J74" s="765"/>
      <c r="L74" s="562"/>
    </row>
    <row r="75" spans="2:12" s="557" customFormat="1" ht="18.75" x14ac:dyDescent="0.2">
      <c r="B75" s="558"/>
      <c r="C75" s="367"/>
      <c r="D75" s="763"/>
      <c r="E75" s="764"/>
      <c r="F75" s="764"/>
      <c r="G75" s="764"/>
      <c r="H75" s="764"/>
      <c r="I75" s="764"/>
      <c r="J75" s="765"/>
      <c r="L75" s="562"/>
    </row>
    <row r="76" spans="2:12" s="557" customFormat="1" ht="18.75" x14ac:dyDescent="0.2">
      <c r="B76" s="558"/>
      <c r="C76" s="367"/>
      <c r="D76" s="763"/>
      <c r="E76" s="764"/>
      <c r="F76" s="764"/>
      <c r="G76" s="764"/>
      <c r="H76" s="764"/>
      <c r="I76" s="764"/>
      <c r="J76" s="765"/>
      <c r="L76" s="562"/>
    </row>
    <row r="77" spans="2:12" s="557" customFormat="1" ht="18.75" x14ac:dyDescent="0.2">
      <c r="B77" s="558"/>
      <c r="C77" s="367"/>
      <c r="D77" s="763"/>
      <c r="E77" s="764"/>
      <c r="F77" s="764"/>
      <c r="G77" s="764"/>
      <c r="H77" s="764"/>
      <c r="I77" s="764"/>
      <c r="J77" s="765"/>
      <c r="L77" s="562"/>
    </row>
    <row r="78" spans="2:12" s="557" customFormat="1" ht="18.75" x14ac:dyDescent="0.2">
      <c r="B78" s="558"/>
      <c r="C78" s="367"/>
      <c r="D78" s="763" t="s">
        <v>886</v>
      </c>
      <c r="E78" s="764"/>
      <c r="F78" s="764"/>
      <c r="G78" s="764"/>
      <c r="H78" s="764"/>
      <c r="I78" s="764"/>
      <c r="J78" s="765"/>
      <c r="L78" s="562"/>
    </row>
    <row r="79" spans="2:12" s="557" customFormat="1" ht="18.75" x14ac:dyDescent="0.2">
      <c r="B79" s="558"/>
      <c r="C79" s="367"/>
      <c r="D79" s="763"/>
      <c r="E79" s="764"/>
      <c r="F79" s="764"/>
      <c r="G79" s="764"/>
      <c r="H79" s="764"/>
      <c r="I79" s="764"/>
      <c r="J79" s="765"/>
      <c r="L79" s="562"/>
    </row>
    <row r="80" spans="2:12" s="557" customFormat="1" ht="18.75" x14ac:dyDescent="0.2">
      <c r="B80" s="558"/>
      <c r="C80" s="367"/>
      <c r="D80" s="763"/>
      <c r="E80" s="764"/>
      <c r="F80" s="764"/>
      <c r="G80" s="764"/>
      <c r="H80" s="764"/>
      <c r="I80" s="764"/>
      <c r="J80" s="765"/>
      <c r="L80" s="562"/>
    </row>
    <row r="81" spans="2:12" s="557" customFormat="1" ht="18.75" x14ac:dyDescent="0.2">
      <c r="B81" s="558"/>
      <c r="C81" s="367"/>
      <c r="D81" s="763"/>
      <c r="E81" s="764"/>
      <c r="F81" s="764"/>
      <c r="G81" s="764"/>
      <c r="H81" s="764"/>
      <c r="I81" s="764"/>
      <c r="J81" s="765"/>
      <c r="L81" s="562"/>
    </row>
    <row r="82" spans="2:12" s="557" customFormat="1" ht="18.75" x14ac:dyDescent="0.2">
      <c r="B82" s="558"/>
      <c r="C82" s="367"/>
      <c r="D82" s="763"/>
      <c r="E82" s="764"/>
      <c r="F82" s="764"/>
      <c r="G82" s="764"/>
      <c r="H82" s="764"/>
      <c r="I82" s="764"/>
      <c r="J82" s="765"/>
      <c r="L82" s="562"/>
    </row>
    <row r="83" spans="2:12" s="557" customFormat="1" ht="18.75" x14ac:dyDescent="0.2">
      <c r="B83" s="558"/>
      <c r="C83" s="367"/>
      <c r="D83" s="763"/>
      <c r="E83" s="764"/>
      <c r="F83" s="764"/>
      <c r="G83" s="764"/>
      <c r="H83" s="764"/>
      <c r="I83" s="764"/>
      <c r="J83" s="765"/>
      <c r="L83" s="562"/>
    </row>
    <row r="84" spans="2:12" s="557" customFormat="1" ht="18.75" x14ac:dyDescent="0.2">
      <c r="B84" s="558"/>
      <c r="C84" s="367"/>
      <c r="D84" s="763"/>
      <c r="E84" s="764"/>
      <c r="F84" s="764"/>
      <c r="G84" s="764"/>
      <c r="H84" s="764"/>
      <c r="I84" s="764"/>
      <c r="J84" s="765"/>
      <c r="L84" s="562"/>
    </row>
    <row r="85" spans="2:12" s="557" customFormat="1" ht="18.75" x14ac:dyDescent="0.2">
      <c r="B85" s="558"/>
      <c r="C85" s="367"/>
      <c r="D85" s="763"/>
      <c r="E85" s="764"/>
      <c r="F85" s="764"/>
      <c r="G85" s="764"/>
      <c r="H85" s="764"/>
      <c r="I85" s="764"/>
      <c r="J85" s="765"/>
      <c r="L85" s="562"/>
    </row>
    <row r="86" spans="2:12" s="557" customFormat="1" ht="18.75" x14ac:dyDescent="0.2">
      <c r="B86" s="558"/>
      <c r="C86" s="367"/>
      <c r="D86" s="763"/>
      <c r="E86" s="764"/>
      <c r="F86" s="764"/>
      <c r="G86" s="764"/>
      <c r="H86" s="764"/>
      <c r="I86" s="764"/>
      <c r="J86" s="765"/>
      <c r="L86" s="562"/>
    </row>
    <row r="87" spans="2:12" s="557" customFormat="1" ht="18.75" x14ac:dyDescent="0.2">
      <c r="B87" s="558"/>
      <c r="C87" s="367"/>
      <c r="D87" s="763"/>
      <c r="E87" s="764"/>
      <c r="F87" s="764"/>
      <c r="G87" s="764"/>
      <c r="H87" s="764"/>
      <c r="I87" s="764"/>
      <c r="J87" s="765"/>
      <c r="L87" s="562"/>
    </row>
    <row r="88" spans="2:12" s="557" customFormat="1" ht="93" customHeight="1" x14ac:dyDescent="0.2">
      <c r="B88" s="558"/>
      <c r="C88" s="367"/>
      <c r="D88" s="763"/>
      <c r="E88" s="764"/>
      <c r="F88" s="764"/>
      <c r="G88" s="764"/>
      <c r="H88" s="764"/>
      <c r="I88" s="764"/>
      <c r="J88" s="765"/>
      <c r="L88" s="562"/>
    </row>
    <row r="89" spans="2:12" s="557" customFormat="1" ht="18.75" x14ac:dyDescent="0.2">
      <c r="B89" s="558"/>
      <c r="C89" s="367"/>
      <c r="D89" s="661"/>
      <c r="E89" s="660"/>
      <c r="F89" s="660"/>
      <c r="G89" s="660"/>
      <c r="H89" s="660"/>
      <c r="I89" s="660"/>
      <c r="J89" s="662"/>
      <c r="L89" s="562"/>
    </row>
    <row r="90" spans="2:12" s="557" customFormat="1" ht="18.75" x14ac:dyDescent="0.2">
      <c r="B90" s="558"/>
      <c r="C90" s="367"/>
      <c r="D90" s="661"/>
      <c r="E90" s="660"/>
      <c r="F90" s="660"/>
      <c r="G90" s="660"/>
      <c r="H90" s="660"/>
      <c r="I90" s="660"/>
      <c r="J90" s="662"/>
      <c r="L90" s="562"/>
    </row>
    <row r="91" spans="2:12" s="557" customFormat="1" ht="18.75" x14ac:dyDescent="0.2">
      <c r="B91" s="558"/>
      <c r="C91" s="367"/>
      <c r="D91" s="661"/>
      <c r="E91" s="660"/>
      <c r="F91" s="660"/>
      <c r="G91" s="660"/>
      <c r="H91" s="660"/>
      <c r="I91" s="660"/>
      <c r="J91" s="662"/>
      <c r="L91" s="562"/>
    </row>
    <row r="92" spans="2:12" s="557" customFormat="1" ht="21" customHeight="1" x14ac:dyDescent="0.2">
      <c r="B92" s="558"/>
      <c r="C92" s="367"/>
      <c r="D92" s="663"/>
      <c r="E92" s="664"/>
      <c r="F92" s="664"/>
      <c r="G92" s="664"/>
      <c r="H92" s="664"/>
      <c r="I92" s="664"/>
      <c r="J92" s="665"/>
      <c r="L92" s="562"/>
    </row>
    <row r="93" spans="2:12" s="557" customFormat="1" ht="18.75" x14ac:dyDescent="0.2">
      <c r="B93" s="558"/>
      <c r="C93" s="367"/>
      <c r="L93" s="562"/>
    </row>
    <row r="94" spans="2:12" s="557" customFormat="1" ht="18.75" x14ac:dyDescent="0.2">
      <c r="B94" s="558"/>
      <c r="C94" s="367"/>
      <c r="D94" s="563" t="s">
        <v>799</v>
      </c>
      <c r="L94" s="562"/>
    </row>
    <row r="95" spans="2:12" s="557" customFormat="1" ht="18.75" x14ac:dyDescent="0.2">
      <c r="B95" s="558"/>
      <c r="C95" s="367"/>
      <c r="D95" s="646" t="s">
        <v>829</v>
      </c>
      <c r="E95" s="564"/>
      <c r="F95" s="565"/>
      <c r="G95" s="565"/>
      <c r="H95" s="565"/>
      <c r="I95" s="565"/>
      <c r="J95" s="565"/>
      <c r="L95" s="562"/>
    </row>
    <row r="96" spans="2:12" s="557" customFormat="1" ht="18.75" x14ac:dyDescent="0.2">
      <c r="B96" s="558"/>
      <c r="C96" s="367"/>
      <c r="D96" s="773" t="s">
        <v>885</v>
      </c>
      <c r="E96" s="773"/>
      <c r="F96" s="773"/>
      <c r="G96" s="773"/>
      <c r="H96" s="773"/>
      <c r="I96" s="773"/>
      <c r="J96" s="773"/>
      <c r="L96" s="562"/>
    </row>
    <row r="97" spans="2:12" s="557" customFormat="1" ht="18.75" x14ac:dyDescent="0.2">
      <c r="B97" s="558"/>
      <c r="C97" s="367"/>
      <c r="D97" s="773"/>
      <c r="E97" s="773"/>
      <c r="F97" s="773"/>
      <c r="G97" s="773"/>
      <c r="H97" s="773"/>
      <c r="I97" s="773"/>
      <c r="J97" s="773"/>
      <c r="L97" s="562"/>
    </row>
    <row r="98" spans="2:12" s="557" customFormat="1" ht="18.75" x14ac:dyDescent="0.2">
      <c r="B98" s="558"/>
      <c r="C98" s="367"/>
      <c r="D98" s="773"/>
      <c r="E98" s="773"/>
      <c r="F98" s="773"/>
      <c r="G98" s="773"/>
      <c r="H98" s="773"/>
      <c r="I98" s="773"/>
      <c r="J98" s="773"/>
      <c r="L98" s="562"/>
    </row>
    <row r="99" spans="2:12" s="557" customFormat="1" ht="18.75" x14ac:dyDescent="0.2">
      <c r="B99" s="558"/>
      <c r="C99" s="367"/>
      <c r="D99" s="773"/>
      <c r="E99" s="773"/>
      <c r="F99" s="773"/>
      <c r="G99" s="773"/>
      <c r="H99" s="773"/>
      <c r="I99" s="773"/>
      <c r="J99" s="773"/>
      <c r="L99" s="562"/>
    </row>
    <row r="100" spans="2:12" s="557" customFormat="1" ht="18.75" x14ac:dyDescent="0.2">
      <c r="B100" s="558"/>
      <c r="C100" s="367"/>
      <c r="D100" s="773"/>
      <c r="E100" s="773"/>
      <c r="F100" s="773"/>
      <c r="G100" s="773"/>
      <c r="H100" s="773"/>
      <c r="I100" s="773"/>
      <c r="J100" s="773"/>
      <c r="L100" s="562"/>
    </row>
    <row r="101" spans="2:12" s="557" customFormat="1" ht="18.75" x14ac:dyDescent="0.2">
      <c r="B101" s="558"/>
      <c r="C101" s="367"/>
      <c r="D101" s="773"/>
      <c r="E101" s="773"/>
      <c r="F101" s="773"/>
      <c r="G101" s="773"/>
      <c r="H101" s="773"/>
      <c r="I101" s="773"/>
      <c r="J101" s="773"/>
      <c r="L101" s="562"/>
    </row>
    <row r="102" spans="2:12" s="557" customFormat="1" ht="18.75" x14ac:dyDescent="0.2">
      <c r="B102" s="558"/>
      <c r="C102" s="367"/>
      <c r="D102" s="773"/>
      <c r="E102" s="773"/>
      <c r="F102" s="773"/>
      <c r="G102" s="773"/>
      <c r="H102" s="773"/>
      <c r="I102" s="773"/>
      <c r="J102" s="773"/>
      <c r="L102" s="562"/>
    </row>
    <row r="103" spans="2:12" s="557" customFormat="1" ht="18.75" x14ac:dyDescent="0.2">
      <c r="B103" s="558"/>
      <c r="C103" s="367"/>
      <c r="L103" s="562"/>
    </row>
    <row r="104" spans="2:12" s="557" customFormat="1" ht="18.75" x14ac:dyDescent="0.2">
      <c r="B104" s="558"/>
      <c r="C104" s="367"/>
      <c r="D104" s="563" t="s">
        <v>800</v>
      </c>
      <c r="L104" s="562"/>
    </row>
    <row r="105" spans="2:12" s="557" customFormat="1" ht="18.75" x14ac:dyDescent="0.2">
      <c r="B105" s="558"/>
      <c r="C105" s="367"/>
      <c r="D105" s="646" t="s">
        <v>829</v>
      </c>
      <c r="L105" s="562"/>
    </row>
    <row r="106" spans="2:12" s="557" customFormat="1" ht="15.75" customHeight="1" x14ac:dyDescent="0.2">
      <c r="B106" s="558"/>
      <c r="C106" s="367"/>
      <c r="D106" s="773" t="s">
        <v>226</v>
      </c>
      <c r="E106" s="773"/>
      <c r="F106" s="773"/>
      <c r="G106" s="773"/>
      <c r="H106" s="773"/>
      <c r="I106" s="773"/>
      <c r="J106" s="773"/>
      <c r="L106" s="562"/>
    </row>
    <row r="107" spans="2:12" s="557" customFormat="1" ht="18.75" x14ac:dyDescent="0.2">
      <c r="B107" s="558"/>
      <c r="C107" s="367"/>
      <c r="D107" s="773"/>
      <c r="E107" s="773"/>
      <c r="F107" s="773"/>
      <c r="G107" s="773"/>
      <c r="H107" s="773"/>
      <c r="I107" s="773"/>
      <c r="J107" s="773"/>
      <c r="L107" s="562"/>
    </row>
    <row r="108" spans="2:12" s="557" customFormat="1" ht="18.75" x14ac:dyDescent="0.2">
      <c r="B108" s="558"/>
      <c r="C108" s="367"/>
      <c r="D108" s="773"/>
      <c r="E108" s="773"/>
      <c r="F108" s="773"/>
      <c r="G108" s="773"/>
      <c r="H108" s="773"/>
      <c r="I108" s="773"/>
      <c r="J108" s="773"/>
      <c r="L108" s="562"/>
    </row>
    <row r="109" spans="2:12" s="557" customFormat="1" ht="18.75" x14ac:dyDescent="0.2">
      <c r="B109" s="558"/>
      <c r="C109" s="367"/>
      <c r="D109" s="773"/>
      <c r="E109" s="773"/>
      <c r="F109" s="773"/>
      <c r="G109" s="773"/>
      <c r="H109" s="773"/>
      <c r="I109" s="773"/>
      <c r="J109" s="773"/>
      <c r="L109" s="562"/>
    </row>
    <row r="110" spans="2:12" s="557" customFormat="1" ht="48.6" customHeight="1" x14ac:dyDescent="0.2">
      <c r="B110" s="558"/>
      <c r="C110" s="367"/>
      <c r="D110" s="773"/>
      <c r="E110" s="773"/>
      <c r="F110" s="773"/>
      <c r="G110" s="773"/>
      <c r="H110" s="773"/>
      <c r="I110" s="773"/>
      <c r="J110" s="773"/>
      <c r="L110" s="562"/>
    </row>
    <row r="111" spans="2:12" s="557" customFormat="1" ht="18.75" x14ac:dyDescent="0.2">
      <c r="B111" s="558"/>
      <c r="C111" s="367"/>
      <c r="L111" s="562"/>
    </row>
    <row r="112" spans="2:12" s="557" customFormat="1" ht="18.75" x14ac:dyDescent="0.2">
      <c r="B112" s="558"/>
      <c r="C112" s="367"/>
      <c r="D112" s="563" t="s">
        <v>801</v>
      </c>
      <c r="L112" s="562"/>
    </row>
    <row r="113" spans="2:12" s="557" customFormat="1" ht="18.75" x14ac:dyDescent="0.2">
      <c r="B113" s="558"/>
      <c r="C113" s="367"/>
      <c r="D113" s="646"/>
      <c r="L113" s="562"/>
    </row>
    <row r="114" spans="2:12" s="557" customFormat="1" ht="18.75" x14ac:dyDescent="0.2">
      <c r="B114" s="558"/>
      <c r="C114" s="367"/>
      <c r="D114" s="773" t="s">
        <v>788</v>
      </c>
      <c r="E114" s="773"/>
      <c r="F114" s="773"/>
      <c r="G114" s="773"/>
      <c r="H114" s="773"/>
      <c r="I114" s="773"/>
      <c r="J114" s="773"/>
      <c r="L114" s="562"/>
    </row>
    <row r="115" spans="2:12" s="557" customFormat="1" ht="18.75" x14ac:dyDescent="0.2">
      <c r="B115" s="558"/>
      <c r="C115" s="367"/>
      <c r="D115" s="773"/>
      <c r="E115" s="773"/>
      <c r="F115" s="773"/>
      <c r="G115" s="773"/>
      <c r="H115" s="773"/>
      <c r="I115" s="773"/>
      <c r="J115" s="773"/>
      <c r="L115" s="562"/>
    </row>
    <row r="116" spans="2:12" s="557" customFormat="1" ht="18.75" x14ac:dyDescent="0.2">
      <c r="B116" s="558"/>
      <c r="C116" s="367"/>
      <c r="D116" s="773"/>
      <c r="E116" s="773"/>
      <c r="F116" s="773"/>
      <c r="G116" s="773"/>
      <c r="H116" s="773"/>
      <c r="I116" s="773"/>
      <c r="J116" s="773"/>
      <c r="L116" s="562"/>
    </row>
    <row r="117" spans="2:12" s="557" customFormat="1" ht="18.75" x14ac:dyDescent="0.2">
      <c r="B117" s="558"/>
      <c r="C117" s="367"/>
      <c r="D117" s="773"/>
      <c r="E117" s="773"/>
      <c r="F117" s="773"/>
      <c r="G117" s="773"/>
      <c r="H117" s="773"/>
      <c r="I117" s="773"/>
      <c r="J117" s="773"/>
      <c r="L117" s="562"/>
    </row>
    <row r="118" spans="2:12" s="557" customFormat="1" ht="18.75" x14ac:dyDescent="0.2">
      <c r="B118" s="558"/>
      <c r="C118" s="367"/>
      <c r="D118" s="773"/>
      <c r="E118" s="773"/>
      <c r="F118" s="773"/>
      <c r="G118" s="773"/>
      <c r="H118" s="773"/>
      <c r="I118" s="773"/>
      <c r="J118" s="773"/>
      <c r="L118" s="562"/>
    </row>
    <row r="119" spans="2:12" s="557" customFormat="1" ht="18.75" x14ac:dyDescent="0.2">
      <c r="B119" s="558"/>
      <c r="C119" s="367"/>
      <c r="L119" s="562"/>
    </row>
    <row r="120" spans="2:12" s="557" customFormat="1" ht="18.75" x14ac:dyDescent="0.2">
      <c r="B120" s="558"/>
      <c r="C120" s="367"/>
      <c r="L120" s="562"/>
    </row>
    <row r="121" spans="2:12" s="557" customFormat="1" ht="18.75" x14ac:dyDescent="0.2">
      <c r="B121" s="558"/>
      <c r="C121" s="367"/>
      <c r="D121" s="563" t="s">
        <v>802</v>
      </c>
      <c r="L121" s="562"/>
    </row>
    <row r="122" spans="2:12" s="557" customFormat="1" ht="18.75" x14ac:dyDescent="0.2">
      <c r="B122" s="558"/>
      <c r="C122" s="367"/>
      <c r="D122" s="563"/>
      <c r="L122" s="562"/>
    </row>
    <row r="123" spans="2:12" s="557" customFormat="1" ht="18.75" x14ac:dyDescent="0.2">
      <c r="B123" s="558"/>
      <c r="C123" s="367"/>
      <c r="D123" s="563" t="s">
        <v>831</v>
      </c>
      <c r="L123" s="562"/>
    </row>
    <row r="124" spans="2:12" s="557" customFormat="1" ht="18.75" x14ac:dyDescent="0.2">
      <c r="B124" s="558"/>
      <c r="C124" s="367"/>
      <c r="D124" s="563" t="s">
        <v>832</v>
      </c>
      <c r="L124" s="562"/>
    </row>
    <row r="125" spans="2:12" s="557" customFormat="1" ht="18.75" x14ac:dyDescent="0.2">
      <c r="B125" s="558"/>
      <c r="C125" s="367"/>
      <c r="D125" s="646" t="s">
        <v>829</v>
      </c>
      <c r="L125" s="562"/>
    </row>
    <row r="126" spans="2:12" s="557" customFormat="1" ht="37.5" customHeight="1" x14ac:dyDescent="0.2">
      <c r="B126" s="558"/>
      <c r="C126" s="367"/>
      <c r="D126" s="773" t="s">
        <v>896</v>
      </c>
      <c r="E126" s="773"/>
      <c r="F126" s="773"/>
      <c r="G126" s="773"/>
      <c r="H126" s="773"/>
      <c r="I126" s="773"/>
      <c r="J126" s="773"/>
      <c r="L126" s="562"/>
    </row>
    <row r="127" spans="2:12" s="557" customFormat="1" ht="37.5" customHeight="1" x14ac:dyDescent="0.2">
      <c r="B127" s="558"/>
      <c r="C127" s="367"/>
      <c r="D127" s="773"/>
      <c r="E127" s="773"/>
      <c r="F127" s="773"/>
      <c r="G127" s="773"/>
      <c r="H127" s="773"/>
      <c r="I127" s="773"/>
      <c r="J127" s="773"/>
      <c r="L127" s="562"/>
    </row>
    <row r="128" spans="2:12" s="557" customFormat="1" ht="37.5" customHeight="1" x14ac:dyDescent="0.2">
      <c r="B128" s="558"/>
      <c r="C128" s="367"/>
      <c r="D128" s="773"/>
      <c r="E128" s="773"/>
      <c r="F128" s="773"/>
      <c r="G128" s="773"/>
      <c r="H128" s="773"/>
      <c r="I128" s="773"/>
      <c r="J128" s="773"/>
      <c r="L128" s="562"/>
    </row>
    <row r="129" spans="2:12" s="557" customFormat="1" ht="37.5" customHeight="1" x14ac:dyDescent="0.2">
      <c r="B129" s="558"/>
      <c r="C129" s="367"/>
      <c r="D129" s="773"/>
      <c r="E129" s="773"/>
      <c r="F129" s="773"/>
      <c r="G129" s="773"/>
      <c r="H129" s="773"/>
      <c r="I129" s="773"/>
      <c r="J129" s="773"/>
      <c r="L129" s="562"/>
    </row>
    <row r="130" spans="2:12" s="557" customFormat="1" ht="37.5" customHeight="1" x14ac:dyDescent="0.2">
      <c r="B130" s="558"/>
      <c r="C130" s="367"/>
      <c r="D130" s="773"/>
      <c r="E130" s="773"/>
      <c r="F130" s="773"/>
      <c r="G130" s="773"/>
      <c r="H130" s="773"/>
      <c r="I130" s="773"/>
      <c r="J130" s="773"/>
      <c r="L130" s="562"/>
    </row>
    <row r="131" spans="2:12" s="557" customFormat="1" ht="18.75" x14ac:dyDescent="0.2">
      <c r="B131" s="558"/>
      <c r="C131" s="367"/>
      <c r="L131" s="562"/>
    </row>
    <row r="132" spans="2:12" s="557" customFormat="1" ht="18.75" x14ac:dyDescent="0.2">
      <c r="B132" s="558"/>
      <c r="L132" s="562"/>
    </row>
    <row r="133" spans="2:12" s="557" customFormat="1" ht="18.75" x14ac:dyDescent="0.2">
      <c r="B133" s="558"/>
      <c r="D133" s="563" t="s">
        <v>803</v>
      </c>
      <c r="L133" s="562"/>
    </row>
    <row r="134" spans="2:12" s="557" customFormat="1" ht="18.75" x14ac:dyDescent="0.2">
      <c r="B134" s="558"/>
      <c r="D134" s="646" t="s">
        <v>829</v>
      </c>
      <c r="L134" s="562"/>
    </row>
    <row r="135" spans="2:12" s="557" customFormat="1" ht="18.75" x14ac:dyDescent="0.2">
      <c r="B135" s="558"/>
      <c r="D135" s="773" t="s">
        <v>227</v>
      </c>
      <c r="E135" s="773"/>
      <c r="F135" s="773"/>
      <c r="G135" s="773"/>
      <c r="H135" s="773"/>
      <c r="I135" s="773"/>
      <c r="J135" s="773"/>
      <c r="L135" s="562"/>
    </row>
    <row r="136" spans="2:12" s="557" customFormat="1" ht="18.75" x14ac:dyDescent="0.2">
      <c r="B136" s="558"/>
      <c r="D136" s="773"/>
      <c r="E136" s="773"/>
      <c r="F136" s="773"/>
      <c r="G136" s="773"/>
      <c r="H136" s="773"/>
      <c r="I136" s="773"/>
      <c r="J136" s="773"/>
      <c r="L136" s="562"/>
    </row>
    <row r="137" spans="2:12" s="557" customFormat="1" ht="18.75" x14ac:dyDescent="0.2">
      <c r="B137" s="558"/>
      <c r="D137" s="773"/>
      <c r="E137" s="773"/>
      <c r="F137" s="773"/>
      <c r="G137" s="773"/>
      <c r="H137" s="773"/>
      <c r="I137" s="773"/>
      <c r="J137" s="773"/>
      <c r="L137" s="562"/>
    </row>
    <row r="138" spans="2:12" s="557" customFormat="1" ht="18.75" x14ac:dyDescent="0.2">
      <c r="B138" s="558"/>
      <c r="D138" s="773"/>
      <c r="E138" s="773"/>
      <c r="F138" s="773"/>
      <c r="G138" s="773"/>
      <c r="H138" s="773"/>
      <c r="I138" s="773"/>
      <c r="J138" s="773"/>
      <c r="L138" s="562"/>
    </row>
    <row r="139" spans="2:12" s="557" customFormat="1" ht="18.75" x14ac:dyDescent="0.2">
      <c r="B139" s="558"/>
      <c r="D139" s="773"/>
      <c r="E139" s="773"/>
      <c r="F139" s="773"/>
      <c r="G139" s="773"/>
      <c r="H139" s="773"/>
      <c r="I139" s="773"/>
      <c r="J139" s="773"/>
      <c r="L139" s="562"/>
    </row>
    <row r="140" spans="2:12" s="557" customFormat="1" ht="18.75" x14ac:dyDescent="0.2">
      <c r="B140" s="558"/>
      <c r="D140" s="563"/>
      <c r="L140" s="562"/>
    </row>
    <row r="141" spans="2:12" s="557" customFormat="1" ht="18.75" x14ac:dyDescent="0.2">
      <c r="B141" s="558"/>
      <c r="L141" s="562"/>
    </row>
    <row r="142" spans="2:12" s="557" customFormat="1" ht="18.75" x14ac:dyDescent="0.2">
      <c r="B142" s="558"/>
      <c r="D142" s="563" t="s">
        <v>804</v>
      </c>
      <c r="L142" s="562"/>
    </row>
    <row r="143" spans="2:12" s="557" customFormat="1" ht="18.75" x14ac:dyDescent="0.2">
      <c r="B143" s="558"/>
      <c r="D143" s="563"/>
      <c r="L143" s="562"/>
    </row>
    <row r="144" spans="2:12" s="557" customFormat="1" ht="18.75" x14ac:dyDescent="0.2">
      <c r="B144" s="558"/>
      <c r="D144" s="557" t="s">
        <v>830</v>
      </c>
      <c r="L144" s="562"/>
    </row>
    <row r="145" spans="2:12" s="557" customFormat="1" ht="18.75" x14ac:dyDescent="0.2">
      <c r="B145" s="558"/>
      <c r="D145" s="646" t="s">
        <v>829</v>
      </c>
      <c r="L145" s="562"/>
    </row>
    <row r="146" spans="2:12" s="557" customFormat="1" ht="15.75" customHeight="1" x14ac:dyDescent="0.2">
      <c r="B146" s="558"/>
      <c r="D146" s="773" t="s">
        <v>897</v>
      </c>
      <c r="E146" s="773"/>
      <c r="F146" s="773"/>
      <c r="G146" s="773"/>
      <c r="H146" s="773"/>
      <c r="I146" s="773"/>
      <c r="J146" s="773"/>
      <c r="L146" s="562"/>
    </row>
    <row r="147" spans="2:12" s="557" customFormat="1" ht="18.75" x14ac:dyDescent="0.2">
      <c r="B147" s="558"/>
      <c r="D147" s="773"/>
      <c r="E147" s="773"/>
      <c r="F147" s="773"/>
      <c r="G147" s="773"/>
      <c r="H147" s="773"/>
      <c r="I147" s="773"/>
      <c r="J147" s="773"/>
      <c r="L147" s="562"/>
    </row>
    <row r="148" spans="2:12" s="557" customFormat="1" ht="18.75" x14ac:dyDescent="0.2">
      <c r="B148" s="558"/>
      <c r="D148" s="773"/>
      <c r="E148" s="773"/>
      <c r="F148" s="773"/>
      <c r="G148" s="773"/>
      <c r="H148" s="773"/>
      <c r="I148" s="773"/>
      <c r="J148" s="773"/>
      <c r="L148" s="562"/>
    </row>
    <row r="149" spans="2:12" s="557" customFormat="1" ht="18.75" x14ac:dyDescent="0.2">
      <c r="B149" s="558"/>
      <c r="D149" s="773"/>
      <c r="E149" s="773"/>
      <c r="F149" s="773"/>
      <c r="G149" s="773"/>
      <c r="H149" s="773"/>
      <c r="I149" s="773"/>
      <c r="J149" s="773"/>
      <c r="L149" s="562"/>
    </row>
    <row r="150" spans="2:12" s="557" customFormat="1" ht="18.75" x14ac:dyDescent="0.2">
      <c r="B150" s="558"/>
      <c r="D150" s="773"/>
      <c r="E150" s="773"/>
      <c r="F150" s="773"/>
      <c r="G150" s="773"/>
      <c r="H150" s="773"/>
      <c r="I150" s="773"/>
      <c r="J150" s="773"/>
      <c r="L150" s="562"/>
    </row>
    <row r="151" spans="2:12" s="557" customFormat="1" ht="18.75" x14ac:dyDescent="0.2">
      <c r="B151" s="558"/>
      <c r="D151" s="566"/>
      <c r="E151" s="566"/>
      <c r="F151" s="566"/>
      <c r="G151" s="566"/>
      <c r="H151" s="566"/>
      <c r="I151" s="566"/>
      <c r="J151" s="566"/>
      <c r="L151" s="562"/>
    </row>
    <row r="152" spans="2:12" s="557" customFormat="1" ht="18.75" x14ac:dyDescent="0.2">
      <c r="B152" s="558"/>
      <c r="L152" s="562"/>
    </row>
    <row r="153" spans="2:12" s="557" customFormat="1" ht="18.75" x14ac:dyDescent="0.2">
      <c r="B153" s="558"/>
      <c r="D153" s="563" t="s">
        <v>805</v>
      </c>
      <c r="L153" s="562"/>
    </row>
    <row r="154" spans="2:12" s="557" customFormat="1" ht="18.75" x14ac:dyDescent="0.2">
      <c r="B154" s="558"/>
      <c r="D154" s="646" t="s">
        <v>829</v>
      </c>
      <c r="L154" s="562"/>
    </row>
    <row r="155" spans="2:12" s="557" customFormat="1" ht="18.75" x14ac:dyDescent="0.2">
      <c r="B155" s="558"/>
      <c r="D155" s="773" t="s">
        <v>228</v>
      </c>
      <c r="E155" s="773"/>
      <c r="F155" s="773"/>
      <c r="G155" s="773"/>
      <c r="H155" s="773"/>
      <c r="I155" s="773"/>
      <c r="J155" s="773"/>
      <c r="L155" s="562"/>
    </row>
    <row r="156" spans="2:12" s="557" customFormat="1" ht="18.75" x14ac:dyDescent="0.2">
      <c r="B156" s="558"/>
      <c r="D156" s="773"/>
      <c r="E156" s="773"/>
      <c r="F156" s="773"/>
      <c r="G156" s="773"/>
      <c r="H156" s="773"/>
      <c r="I156" s="773"/>
      <c r="J156" s="773"/>
      <c r="L156" s="562"/>
    </row>
    <row r="157" spans="2:12" s="557" customFormat="1" ht="18.75" x14ac:dyDescent="0.2">
      <c r="B157" s="558"/>
      <c r="D157" s="773"/>
      <c r="E157" s="773"/>
      <c r="F157" s="773"/>
      <c r="G157" s="773"/>
      <c r="H157" s="773"/>
      <c r="I157" s="773"/>
      <c r="J157" s="773"/>
      <c r="L157" s="562"/>
    </row>
    <row r="158" spans="2:12" s="557" customFormat="1" ht="18.75" x14ac:dyDescent="0.2">
      <c r="B158" s="558"/>
      <c r="D158" s="773"/>
      <c r="E158" s="773"/>
      <c r="F158" s="773"/>
      <c r="G158" s="773"/>
      <c r="H158" s="773"/>
      <c r="I158" s="773"/>
      <c r="J158" s="773"/>
      <c r="L158" s="562"/>
    </row>
    <row r="159" spans="2:12" s="557" customFormat="1" ht="18.75" x14ac:dyDescent="0.2">
      <c r="B159" s="558"/>
      <c r="D159" s="773"/>
      <c r="E159" s="773"/>
      <c r="F159" s="773"/>
      <c r="G159" s="773"/>
      <c r="H159" s="773"/>
      <c r="I159" s="773"/>
      <c r="J159" s="773"/>
      <c r="L159" s="562"/>
    </row>
    <row r="160" spans="2:12" s="557" customFormat="1" ht="18.75" x14ac:dyDescent="0.2">
      <c r="B160" s="558"/>
      <c r="D160" s="563"/>
      <c r="L160" s="562"/>
    </row>
    <row r="161" spans="2:12" s="557" customFormat="1" ht="18.75" x14ac:dyDescent="0.2">
      <c r="B161" s="558"/>
      <c r="D161" s="563"/>
      <c r="L161" s="562"/>
    </row>
    <row r="162" spans="2:12" s="557" customFormat="1" ht="18.75" x14ac:dyDescent="0.2">
      <c r="B162" s="558"/>
      <c r="D162" s="563" t="s">
        <v>806</v>
      </c>
      <c r="E162" s="563"/>
      <c r="L162" s="562"/>
    </row>
    <row r="163" spans="2:12" s="557" customFormat="1" ht="18.75" x14ac:dyDescent="0.2">
      <c r="B163" s="558"/>
      <c r="D163" s="646" t="s">
        <v>829</v>
      </c>
      <c r="L163" s="562"/>
    </row>
    <row r="164" spans="2:12" s="557" customFormat="1" ht="18.75" x14ac:dyDescent="0.2">
      <c r="B164" s="558"/>
      <c r="D164" s="773" t="s">
        <v>788</v>
      </c>
      <c r="E164" s="773"/>
      <c r="F164" s="773"/>
      <c r="G164" s="773"/>
      <c r="H164" s="773"/>
      <c r="I164" s="773"/>
      <c r="J164" s="773"/>
      <c r="L164" s="562"/>
    </row>
    <row r="165" spans="2:12" s="557" customFormat="1" ht="18.75" x14ac:dyDescent="0.2">
      <c r="B165" s="558"/>
      <c r="D165" s="773"/>
      <c r="E165" s="773"/>
      <c r="F165" s="773"/>
      <c r="G165" s="773"/>
      <c r="H165" s="773"/>
      <c r="I165" s="773"/>
      <c r="J165" s="773"/>
      <c r="L165" s="562"/>
    </row>
    <row r="166" spans="2:12" s="557" customFormat="1" ht="18.75" x14ac:dyDescent="0.2">
      <c r="B166" s="558"/>
      <c r="D166" s="773"/>
      <c r="E166" s="773"/>
      <c r="F166" s="773"/>
      <c r="G166" s="773"/>
      <c r="H166" s="773"/>
      <c r="I166" s="773"/>
      <c r="J166" s="773"/>
      <c r="L166" s="562"/>
    </row>
    <row r="167" spans="2:12" s="557" customFormat="1" ht="18.75" x14ac:dyDescent="0.2">
      <c r="B167" s="558"/>
      <c r="D167" s="773"/>
      <c r="E167" s="773"/>
      <c r="F167" s="773"/>
      <c r="G167" s="773"/>
      <c r="H167" s="773"/>
      <c r="I167" s="773"/>
      <c r="J167" s="773"/>
      <c r="L167" s="562"/>
    </row>
    <row r="168" spans="2:12" s="557" customFormat="1" ht="18.75" x14ac:dyDescent="0.2">
      <c r="B168" s="558"/>
      <c r="D168" s="773"/>
      <c r="E168" s="773"/>
      <c r="F168" s="773"/>
      <c r="G168" s="773"/>
      <c r="H168" s="773"/>
      <c r="I168" s="773"/>
      <c r="J168" s="773"/>
      <c r="L168" s="562"/>
    </row>
    <row r="169" spans="2:12" s="557" customFormat="1" ht="18.75" x14ac:dyDescent="0.2">
      <c r="B169" s="558"/>
      <c r="D169" s="563"/>
      <c r="L169" s="562"/>
    </row>
    <row r="170" spans="2:12" s="557" customFormat="1" ht="18.75" x14ac:dyDescent="0.2">
      <c r="B170" s="558"/>
      <c r="D170" s="563" t="s">
        <v>229</v>
      </c>
      <c r="L170" s="562"/>
    </row>
    <row r="171" spans="2:12" s="557" customFormat="1" ht="18.75" x14ac:dyDescent="0.2">
      <c r="B171" s="558"/>
      <c r="D171" s="646" t="s">
        <v>829</v>
      </c>
      <c r="L171" s="562"/>
    </row>
    <row r="172" spans="2:12" s="557" customFormat="1" ht="15.75" customHeight="1" x14ac:dyDescent="0.2">
      <c r="B172" s="558"/>
      <c r="D172" s="773" t="s">
        <v>230</v>
      </c>
      <c r="E172" s="773"/>
      <c r="F172" s="773"/>
      <c r="G172" s="773"/>
      <c r="H172" s="773"/>
      <c r="I172" s="773"/>
      <c r="J172" s="773"/>
      <c r="L172" s="562"/>
    </row>
    <row r="173" spans="2:12" s="557" customFormat="1" ht="18.75" x14ac:dyDescent="0.2">
      <c r="B173" s="558"/>
      <c r="D173" s="773"/>
      <c r="E173" s="773"/>
      <c r="F173" s="773"/>
      <c r="G173" s="773"/>
      <c r="H173" s="773"/>
      <c r="I173" s="773"/>
      <c r="J173" s="773"/>
      <c r="L173" s="562"/>
    </row>
    <row r="174" spans="2:12" s="557" customFormat="1" ht="18.75" x14ac:dyDescent="0.2">
      <c r="B174" s="558"/>
      <c r="D174" s="773"/>
      <c r="E174" s="773"/>
      <c r="F174" s="773"/>
      <c r="G174" s="773"/>
      <c r="H174" s="773"/>
      <c r="I174" s="773"/>
      <c r="J174" s="773"/>
      <c r="L174" s="562"/>
    </row>
    <row r="175" spans="2:12" s="557" customFormat="1" ht="18.75" x14ac:dyDescent="0.2">
      <c r="B175" s="558"/>
      <c r="L175" s="562"/>
    </row>
    <row r="176" spans="2:12" s="557" customFormat="1" ht="18.75" x14ac:dyDescent="0.2">
      <c r="B176" s="558"/>
      <c r="L176" s="562"/>
    </row>
    <row r="177" spans="2:14" s="557" customFormat="1" ht="18.75" x14ac:dyDescent="0.2">
      <c r="B177" s="558"/>
      <c r="D177" s="563" t="s">
        <v>807</v>
      </c>
      <c r="E177" s="563"/>
      <c r="L177" s="562"/>
    </row>
    <row r="178" spans="2:14" s="557" customFormat="1" ht="18.75" x14ac:dyDescent="0.2">
      <c r="B178" s="558"/>
      <c r="D178" s="646" t="s">
        <v>829</v>
      </c>
      <c r="L178" s="562"/>
    </row>
    <row r="179" spans="2:14" s="557" customFormat="1" ht="78.75" customHeight="1" x14ac:dyDescent="0.2">
      <c r="B179" s="558"/>
      <c r="D179" s="774" t="s">
        <v>231</v>
      </c>
      <c r="E179" s="775"/>
      <c r="F179" s="775"/>
      <c r="G179" s="775"/>
      <c r="H179" s="775"/>
      <c r="I179" s="775"/>
      <c r="J179" s="776"/>
      <c r="L179" s="562"/>
    </row>
    <row r="180" spans="2:14" s="557" customFormat="1" ht="18.75" x14ac:dyDescent="0.2">
      <c r="B180" s="558"/>
      <c r="D180" s="777"/>
      <c r="E180" s="778"/>
      <c r="F180" s="778"/>
      <c r="G180" s="778"/>
      <c r="H180" s="778"/>
      <c r="I180" s="778"/>
      <c r="J180" s="779"/>
      <c r="L180" s="562"/>
    </row>
    <row r="181" spans="2:14" s="557" customFormat="1" ht="24" customHeight="1" x14ac:dyDescent="0.2">
      <c r="B181" s="558"/>
      <c r="D181" s="777"/>
      <c r="E181" s="778"/>
      <c r="F181" s="778"/>
      <c r="G181" s="778"/>
      <c r="H181" s="778"/>
      <c r="I181" s="778"/>
      <c r="J181" s="779"/>
      <c r="L181" s="562"/>
    </row>
    <row r="182" spans="2:14" s="557" customFormat="1" ht="31.5" x14ac:dyDescent="0.2">
      <c r="B182" s="558"/>
      <c r="D182" s="567"/>
      <c r="E182" s="568"/>
      <c r="F182" s="569"/>
      <c r="G182" s="570" t="str">
        <f>" ב-31 בדצמבר "&amp;RIGHT('פרטי התאגיד'!G11,4)</f>
        <v xml:space="preserve"> ב-31 בדצמבר 2024</v>
      </c>
      <c r="H182" s="570" t="str">
        <f>" ב-31 בדצמבר "&amp;RIGHT('פרטי התאגיד'!G13,4)</f>
        <v xml:space="preserve"> ב-31 בדצמבר 2023</v>
      </c>
      <c r="I182" s="569"/>
      <c r="J182" s="571"/>
      <c r="L182" s="562"/>
    </row>
    <row r="183" spans="2:14" s="557" customFormat="1" ht="18.75" x14ac:dyDescent="0.2">
      <c r="B183" s="558"/>
      <c r="D183" s="572" t="s">
        <v>232</v>
      </c>
      <c r="E183" s="568"/>
      <c r="F183" s="569"/>
      <c r="G183" s="311" t="s">
        <v>788</v>
      </c>
      <c r="H183" s="311" t="s">
        <v>788</v>
      </c>
      <c r="I183" s="569"/>
      <c r="J183" s="571"/>
      <c r="L183" s="562"/>
    </row>
    <row r="184" spans="2:14" s="557" customFormat="1" ht="18.75" x14ac:dyDescent="0.2">
      <c r="B184" s="558"/>
      <c r="D184" s="573" t="s">
        <v>233</v>
      </c>
      <c r="E184" s="574"/>
      <c r="F184" s="575"/>
      <c r="G184" s="537" t="s">
        <v>788</v>
      </c>
      <c r="H184" s="537" t="s">
        <v>788</v>
      </c>
      <c r="I184" s="575"/>
      <c r="J184" s="576"/>
      <c r="L184" s="562"/>
    </row>
    <row r="185" spans="2:14" s="557" customFormat="1" ht="18.75" x14ac:dyDescent="0.2">
      <c r="B185" s="558"/>
      <c r="L185" s="562"/>
    </row>
    <row r="186" spans="2:14" s="557" customFormat="1" ht="18.75" x14ac:dyDescent="0.2">
      <c r="B186" s="558"/>
      <c r="L186" s="562"/>
    </row>
    <row r="187" spans="2:14" s="557" customFormat="1" ht="18.75" x14ac:dyDescent="0.2">
      <c r="B187" s="558"/>
      <c r="L187" s="562"/>
    </row>
    <row r="188" spans="2:14" s="577" customFormat="1" ht="18.75" x14ac:dyDescent="0.3">
      <c r="B188" s="312" t="s">
        <v>234</v>
      </c>
      <c r="C188" s="366" t="s">
        <v>207</v>
      </c>
      <c r="D188" s="295" t="s">
        <v>235</v>
      </c>
      <c r="E188" s="240"/>
      <c r="F188" s="552"/>
      <c r="G188" s="552"/>
      <c r="H188" s="552"/>
      <c r="I188" s="552"/>
      <c r="J188" s="552"/>
      <c r="K188" s="578"/>
      <c r="L188" s="579"/>
      <c r="M188" s="578"/>
      <c r="N188" s="578"/>
    </row>
    <row r="189" spans="2:14" s="557" customFormat="1" ht="18.75" x14ac:dyDescent="0.2">
      <c r="B189" s="558"/>
      <c r="C189" s="367"/>
      <c r="H189" s="580"/>
      <c r="I189" s="580"/>
      <c r="J189" s="580"/>
      <c r="K189" s="580"/>
      <c r="L189" s="581"/>
      <c r="M189" s="580"/>
      <c r="N189" s="580"/>
    </row>
    <row r="190" spans="2:14" s="557" customFormat="1" ht="18.75" x14ac:dyDescent="0.2">
      <c r="B190" s="558"/>
      <c r="C190" s="367"/>
      <c r="D190" s="559" t="s">
        <v>236</v>
      </c>
      <c r="H190" s="780" t="s">
        <v>237</v>
      </c>
      <c r="I190" s="780"/>
      <c r="J190" s="780"/>
      <c r="K190" s="306"/>
      <c r="L190" s="581"/>
      <c r="M190" s="580"/>
      <c r="N190" s="580"/>
    </row>
    <row r="191" spans="2:14" s="557" customFormat="1" ht="18.75" x14ac:dyDescent="0.2">
      <c r="B191" s="558"/>
      <c r="C191" s="367"/>
      <c r="G191" s="561"/>
      <c r="H191" s="582" t="str">
        <f>RIGHT('פרטי התאגיד'!$G$11,4)</f>
        <v>2024</v>
      </c>
      <c r="I191" s="582"/>
      <c r="J191" s="582" t="str">
        <f>RIGHT('פרטי התאגיד'!$G$13,4)</f>
        <v>2023</v>
      </c>
      <c r="K191" s="306"/>
      <c r="L191" s="581"/>
      <c r="M191" s="580"/>
      <c r="N191" s="580"/>
    </row>
    <row r="192" spans="2:14" s="557" customFormat="1" ht="18.75" x14ac:dyDescent="0.2">
      <c r="B192" s="558"/>
      <c r="C192" s="367"/>
      <c r="D192" s="557" t="s">
        <v>238</v>
      </c>
      <c r="G192" s="561"/>
      <c r="H192" s="303">
        <v>6928</v>
      </c>
      <c r="I192" s="582"/>
      <c r="J192" s="303">
        <v>11982</v>
      </c>
      <c r="K192" s="306"/>
      <c r="L192" s="581"/>
      <c r="M192" s="580"/>
      <c r="N192" s="580"/>
    </row>
    <row r="193" spans="2:14" s="557" customFormat="1" ht="18.75" x14ac:dyDescent="0.2">
      <c r="B193" s="558"/>
      <c r="C193" s="367"/>
      <c r="D193" s="557" t="s">
        <v>239</v>
      </c>
      <c r="G193" s="561"/>
      <c r="H193" s="304"/>
      <c r="I193" s="582"/>
      <c r="J193" s="304"/>
      <c r="K193" s="306"/>
      <c r="L193" s="581"/>
      <c r="M193" s="580"/>
      <c r="N193" s="580"/>
    </row>
    <row r="194" spans="2:14" s="557" customFormat="1" ht="18.75" x14ac:dyDescent="0.2">
      <c r="B194" s="558"/>
      <c r="C194" s="367"/>
      <c r="D194" s="313" t="s">
        <v>9</v>
      </c>
      <c r="G194" s="561"/>
      <c r="H194" s="304"/>
      <c r="I194" s="582"/>
      <c r="J194" s="304"/>
      <c r="K194" s="306"/>
      <c r="L194" s="581"/>
      <c r="M194" s="580"/>
      <c r="N194" s="580"/>
    </row>
    <row r="195" spans="2:14" s="557" customFormat="1" ht="18.75" x14ac:dyDescent="0.2">
      <c r="B195" s="558"/>
      <c r="C195" s="367"/>
      <c r="D195" s="313" t="s">
        <v>9</v>
      </c>
      <c r="G195" s="561"/>
      <c r="H195" s="304"/>
      <c r="I195" s="582"/>
      <c r="J195" s="304"/>
      <c r="K195" s="306"/>
      <c r="L195" s="581"/>
      <c r="M195" s="580"/>
      <c r="N195" s="580"/>
    </row>
    <row r="196" spans="2:14" s="557" customFormat="1" ht="18.75" x14ac:dyDescent="0.2">
      <c r="B196" s="558"/>
      <c r="C196" s="367"/>
      <c r="G196" s="561"/>
      <c r="H196" s="583">
        <f>SUM(H192:H195)</f>
        <v>6928</v>
      </c>
      <c r="I196" s="582"/>
      <c r="J196" s="583">
        <f>SUM(J192:J195)</f>
        <v>11982</v>
      </c>
      <c r="K196" s="306"/>
      <c r="L196" s="581"/>
      <c r="M196" s="580"/>
      <c r="N196" s="580"/>
    </row>
    <row r="197" spans="2:14" s="557" customFormat="1" ht="18.75" x14ac:dyDescent="0.2">
      <c r="B197" s="558"/>
      <c r="C197" s="367"/>
      <c r="H197" s="580"/>
      <c r="I197" s="580"/>
      <c r="J197" s="580"/>
      <c r="K197" s="580"/>
      <c r="L197" s="581"/>
      <c r="M197" s="580"/>
      <c r="N197" s="580"/>
    </row>
    <row r="198" spans="2:14" s="557" customFormat="1" ht="18.75" x14ac:dyDescent="0.2">
      <c r="B198" s="558"/>
      <c r="C198" s="367"/>
      <c r="H198" s="580"/>
      <c r="I198" s="580"/>
      <c r="J198" s="580"/>
      <c r="K198" s="580"/>
      <c r="L198" s="581"/>
      <c r="M198" s="580"/>
      <c r="N198" s="580"/>
    </row>
    <row r="199" spans="2:14" s="557" customFormat="1" ht="35.1" customHeight="1" x14ac:dyDescent="0.2">
      <c r="B199" s="558"/>
      <c r="C199" s="367"/>
      <c r="D199" s="584" t="s">
        <v>240</v>
      </c>
      <c r="E199" s="766" t="s">
        <v>241</v>
      </c>
      <c r="F199" s="766"/>
      <c r="G199" s="766"/>
      <c r="H199" s="304"/>
      <c r="I199" s="582"/>
      <c r="J199" s="304"/>
      <c r="K199" s="306"/>
      <c r="L199" s="581"/>
      <c r="M199" s="580"/>
      <c r="N199" s="580"/>
    </row>
    <row r="200" spans="2:14" s="557" customFormat="1" ht="18.75" x14ac:dyDescent="0.2">
      <c r="B200" s="558"/>
      <c r="C200" s="367"/>
      <c r="H200" s="580"/>
      <c r="I200" s="580"/>
      <c r="J200" s="580"/>
      <c r="K200" s="580"/>
      <c r="L200" s="581"/>
      <c r="M200" s="580"/>
      <c r="N200" s="580"/>
    </row>
    <row r="201" spans="2:14" s="577" customFormat="1" ht="18.75" x14ac:dyDescent="0.2">
      <c r="B201" s="312" t="s">
        <v>242</v>
      </c>
      <c r="C201" s="366" t="s">
        <v>207</v>
      </c>
      <c r="D201" s="302" t="s">
        <v>78</v>
      </c>
      <c r="E201" s="302"/>
      <c r="F201" s="302"/>
      <c r="G201" s="585"/>
      <c r="H201" s="586"/>
      <c r="I201" s="586"/>
      <c r="J201" s="586"/>
      <c r="K201" s="578"/>
      <c r="L201" s="579"/>
      <c r="M201" s="578"/>
      <c r="N201" s="578"/>
    </row>
    <row r="202" spans="2:14" s="557" customFormat="1" ht="18.75" x14ac:dyDescent="0.2">
      <c r="B202" s="558"/>
      <c r="C202" s="367"/>
      <c r="H202" s="580"/>
      <c r="I202" s="580"/>
      <c r="J202" s="580"/>
      <c r="K202" s="580"/>
      <c r="L202" s="581"/>
      <c r="M202" s="580"/>
      <c r="N202" s="580"/>
    </row>
    <row r="203" spans="2:14" s="557" customFormat="1" ht="18.75" x14ac:dyDescent="0.2">
      <c r="B203" s="587"/>
      <c r="C203" s="367"/>
      <c r="D203" s="559" t="s">
        <v>236</v>
      </c>
      <c r="H203" s="771" t="s">
        <v>237</v>
      </c>
      <c r="I203" s="771"/>
      <c r="J203" s="771"/>
      <c r="K203" s="306"/>
      <c r="L203" s="581"/>
      <c r="M203" s="580"/>
      <c r="N203" s="580"/>
    </row>
    <row r="204" spans="2:14" s="557" customFormat="1" ht="18.75" x14ac:dyDescent="0.2">
      <c r="B204" s="558"/>
      <c r="C204" s="367"/>
      <c r="H204" s="582" t="str">
        <f>RIGHT('פרטי התאגיד'!$G$11,4)</f>
        <v>2024</v>
      </c>
      <c r="I204" s="582"/>
      <c r="J204" s="582" t="str">
        <f>RIGHT('פרטי התאגיד'!$G$13,4)</f>
        <v>2023</v>
      </c>
      <c r="K204" s="306"/>
      <c r="L204" s="581"/>
      <c r="M204" s="580"/>
      <c r="N204" s="580"/>
    </row>
    <row r="205" spans="2:14" s="557" customFormat="1" ht="18.75" x14ac:dyDescent="0.2">
      <c r="B205" s="558"/>
      <c r="C205" s="367"/>
      <c r="D205" s="557" t="s">
        <v>243</v>
      </c>
      <c r="H205" s="303"/>
      <c r="I205" s="582"/>
      <c r="J205" s="303"/>
      <c r="K205" s="306"/>
      <c r="L205" s="581"/>
      <c r="M205" s="580"/>
      <c r="N205" s="580"/>
    </row>
    <row r="206" spans="2:14" s="557" customFormat="1" ht="18.75" x14ac:dyDescent="0.2">
      <c r="B206" s="558"/>
      <c r="C206" s="367"/>
      <c r="D206" s="557" t="s">
        <v>244</v>
      </c>
      <c r="H206" s="304"/>
      <c r="I206" s="582"/>
      <c r="J206" s="304"/>
      <c r="K206" s="306"/>
      <c r="L206" s="581"/>
      <c r="M206" s="580"/>
      <c r="N206" s="580"/>
    </row>
    <row r="207" spans="2:14" s="557" customFormat="1" ht="18.75" x14ac:dyDescent="0.2">
      <c r="B207" s="558"/>
      <c r="C207" s="367"/>
      <c r="D207" s="557" t="s">
        <v>245</v>
      </c>
      <c r="H207" s="304"/>
      <c r="I207" s="582"/>
      <c r="J207" s="304"/>
      <c r="K207" s="306"/>
      <c r="L207" s="581"/>
      <c r="M207" s="580"/>
      <c r="N207" s="580"/>
    </row>
    <row r="208" spans="2:14" s="557" customFormat="1" ht="18.75" x14ac:dyDescent="0.2">
      <c r="B208" s="558"/>
      <c r="C208" s="367"/>
      <c r="D208" s="313" t="s">
        <v>855</v>
      </c>
      <c r="H208" s="304">
        <v>70465</v>
      </c>
      <c r="I208" s="582"/>
      <c r="J208" s="304">
        <v>72483</v>
      </c>
      <c r="K208" s="306"/>
      <c r="L208" s="581"/>
      <c r="M208" s="580"/>
      <c r="N208" s="580"/>
    </row>
    <row r="209" spans="2:14" s="557" customFormat="1" ht="18.75" x14ac:dyDescent="0.2">
      <c r="B209" s="558"/>
      <c r="C209" s="367"/>
      <c r="D209" s="563"/>
      <c r="H209" s="583">
        <f>SUM(H205:H208)</f>
        <v>70465</v>
      </c>
      <c r="I209" s="306"/>
      <c r="J209" s="583">
        <f>SUM(J205:J208)</f>
        <v>72483</v>
      </c>
      <c r="K209" s="580"/>
      <c r="L209" s="581"/>
      <c r="M209" s="580"/>
      <c r="N209" s="580"/>
    </row>
    <row r="210" spans="2:14" s="557" customFormat="1" ht="18.75" x14ac:dyDescent="0.2">
      <c r="B210" s="558"/>
      <c r="C210" s="367"/>
      <c r="H210" s="580"/>
      <c r="I210" s="580"/>
      <c r="J210" s="580"/>
      <c r="K210" s="580"/>
      <c r="L210" s="581"/>
      <c r="M210" s="580"/>
      <c r="N210" s="580"/>
    </row>
    <row r="211" spans="2:14" s="557" customFormat="1" ht="31.5" customHeight="1" x14ac:dyDescent="0.2">
      <c r="B211" s="587"/>
      <c r="C211" s="367"/>
      <c r="D211" s="584" t="s">
        <v>240</v>
      </c>
      <c r="E211" s="766" t="s">
        <v>241</v>
      </c>
      <c r="F211" s="766"/>
      <c r="G211" s="766"/>
      <c r="H211" s="304">
        <v>8260</v>
      </c>
      <c r="I211" s="582"/>
      <c r="J211" s="304">
        <v>8521</v>
      </c>
      <c r="K211" s="580"/>
      <c r="L211" s="581"/>
      <c r="M211" s="580"/>
      <c r="N211" s="580"/>
    </row>
    <row r="212" spans="2:14" s="557" customFormat="1" ht="10.15" customHeight="1" x14ac:dyDescent="0.2">
      <c r="B212" s="558"/>
      <c r="C212" s="367"/>
      <c r="H212" s="580"/>
      <c r="I212" s="580"/>
      <c r="J212" s="580"/>
      <c r="K212" s="580"/>
      <c r="L212" s="581"/>
      <c r="M212" s="580"/>
      <c r="N212" s="580"/>
    </row>
    <row r="213" spans="2:14" s="557" customFormat="1" ht="10.15" customHeight="1" x14ac:dyDescent="0.2">
      <c r="B213" s="558"/>
      <c r="C213" s="367"/>
      <c r="H213" s="580"/>
      <c r="I213" s="580"/>
      <c r="J213" s="580"/>
      <c r="K213" s="580"/>
      <c r="L213" s="581"/>
      <c r="M213" s="580"/>
      <c r="N213" s="580"/>
    </row>
    <row r="214" spans="2:14" s="557" customFormat="1" ht="10.15" customHeight="1" x14ac:dyDescent="0.2">
      <c r="B214" s="558"/>
      <c r="C214" s="367"/>
      <c r="H214" s="580"/>
      <c r="I214" s="580"/>
      <c r="J214" s="580"/>
      <c r="K214" s="580"/>
      <c r="L214" s="581"/>
      <c r="M214" s="580"/>
      <c r="N214" s="580"/>
    </row>
    <row r="215" spans="2:14" s="557" customFormat="1" ht="10.15" customHeight="1" x14ac:dyDescent="0.2">
      <c r="B215" s="558"/>
      <c r="C215" s="367"/>
      <c r="H215" s="580"/>
      <c r="I215" s="580"/>
      <c r="J215" s="580"/>
      <c r="K215" s="580"/>
      <c r="L215" s="581"/>
      <c r="M215" s="580"/>
      <c r="N215" s="580"/>
    </row>
    <row r="216" spans="2:14" s="577" customFormat="1" ht="18.75" x14ac:dyDescent="0.2">
      <c r="B216" s="312" t="s">
        <v>246</v>
      </c>
      <c r="C216" s="366" t="s">
        <v>207</v>
      </c>
      <c r="D216" s="302" t="s">
        <v>80</v>
      </c>
      <c r="E216" s="302"/>
      <c r="F216" s="585"/>
      <c r="G216" s="585"/>
      <c r="H216" s="586"/>
      <c r="I216" s="586"/>
      <c r="J216" s="586"/>
      <c r="K216" s="578"/>
      <c r="L216" s="579"/>
      <c r="M216" s="578"/>
      <c r="N216" s="578"/>
    </row>
    <row r="217" spans="2:14" s="557" customFormat="1" ht="18.75" x14ac:dyDescent="0.2">
      <c r="B217" s="558"/>
      <c r="C217" s="367"/>
      <c r="H217" s="580"/>
      <c r="I217" s="580"/>
      <c r="J217" s="580"/>
      <c r="K217" s="580"/>
      <c r="L217" s="581"/>
      <c r="M217" s="580"/>
      <c r="N217" s="580"/>
    </row>
    <row r="218" spans="2:14" s="557" customFormat="1" ht="18.75" x14ac:dyDescent="0.2">
      <c r="B218" s="558"/>
      <c r="C218" s="367"/>
      <c r="D218" s="559" t="s">
        <v>247</v>
      </c>
      <c r="H218" s="771" t="s">
        <v>237</v>
      </c>
      <c r="I218" s="771"/>
      <c r="J218" s="771"/>
      <c r="K218" s="580"/>
      <c r="L218" s="581"/>
      <c r="M218" s="580"/>
      <c r="N218" s="580"/>
    </row>
    <row r="219" spans="2:14" s="557" customFormat="1" ht="15.75" customHeight="1" x14ac:dyDescent="0.2">
      <c r="B219" s="558"/>
      <c r="C219" s="367"/>
      <c r="H219" s="582" t="str">
        <f>RIGHT('פרטי התאגיד'!$G$11,4)</f>
        <v>2024</v>
      </c>
      <c r="I219" s="582"/>
      <c r="J219" s="582" t="str">
        <f>RIGHT('פרטי התאגיד'!$G$13,4)</f>
        <v>2023</v>
      </c>
      <c r="K219" s="580"/>
      <c r="L219" s="581"/>
      <c r="M219" s="580"/>
      <c r="N219" s="580"/>
    </row>
    <row r="220" spans="2:14" s="557" customFormat="1" ht="15.75" customHeight="1" x14ac:dyDescent="0.2">
      <c r="B220" s="558"/>
      <c r="C220" s="367" t="s">
        <v>248</v>
      </c>
      <c r="D220" s="557" t="s">
        <v>249</v>
      </c>
      <c r="H220" s="303">
        <v>29778</v>
      </c>
      <c r="I220" s="582"/>
      <c r="J220" s="303">
        <v>25118</v>
      </c>
      <c r="K220" s="580"/>
      <c r="L220" s="581"/>
      <c r="M220" s="580"/>
      <c r="N220" s="580"/>
    </row>
    <row r="221" spans="2:14" s="557" customFormat="1" ht="15.75" customHeight="1" x14ac:dyDescent="0.2">
      <c r="B221" s="558"/>
      <c r="C221" s="367"/>
      <c r="D221" s="557" t="s">
        <v>250</v>
      </c>
      <c r="H221" s="303">
        <v>4101</v>
      </c>
      <c r="I221" s="582"/>
      <c r="J221" s="303">
        <v>3470</v>
      </c>
      <c r="K221" s="580"/>
      <c r="L221" s="581"/>
      <c r="M221" s="580"/>
      <c r="N221" s="580"/>
    </row>
    <row r="222" spans="2:14" s="557" customFormat="1" ht="15.75" customHeight="1" x14ac:dyDescent="0.2">
      <c r="B222" s="558"/>
      <c r="C222" s="367" t="s">
        <v>248</v>
      </c>
      <c r="D222" s="772" t="s">
        <v>251</v>
      </c>
      <c r="E222" s="772"/>
      <c r="F222" s="772"/>
      <c r="H222" s="303">
        <v>10407</v>
      </c>
      <c r="I222" s="582"/>
      <c r="J222" s="303">
        <v>10896</v>
      </c>
      <c r="K222" s="580"/>
      <c r="L222" s="581"/>
      <c r="M222" s="580"/>
      <c r="N222" s="580"/>
    </row>
    <row r="223" spans="2:14" s="557" customFormat="1" ht="15.75" customHeight="1" x14ac:dyDescent="0.2">
      <c r="B223" s="558"/>
      <c r="C223" s="367"/>
      <c r="D223" s="557" t="s">
        <v>252</v>
      </c>
      <c r="H223" s="303">
        <v>609</v>
      </c>
      <c r="I223" s="582"/>
      <c r="J223" s="303">
        <v>1539</v>
      </c>
      <c r="K223" s="580"/>
      <c r="L223" s="581"/>
      <c r="M223" s="580"/>
      <c r="N223" s="580"/>
    </row>
    <row r="224" spans="2:14" s="557" customFormat="1" ht="15.75" customHeight="1" x14ac:dyDescent="0.2">
      <c r="B224" s="558"/>
      <c r="C224" s="367"/>
      <c r="D224" s="313" t="s">
        <v>856</v>
      </c>
      <c r="H224" s="303">
        <v>36</v>
      </c>
      <c r="I224" s="582"/>
      <c r="J224" s="303">
        <v>7</v>
      </c>
      <c r="K224" s="580"/>
      <c r="L224" s="581"/>
      <c r="M224" s="580"/>
      <c r="N224" s="580"/>
    </row>
    <row r="225" spans="2:14" s="557" customFormat="1" ht="15.75" customHeight="1" x14ac:dyDescent="0.2">
      <c r="B225" s="558"/>
      <c r="C225" s="367"/>
      <c r="D225" s="557" t="s">
        <v>810</v>
      </c>
      <c r="H225" s="588">
        <f>-H237</f>
        <v>-16801</v>
      </c>
      <c r="I225" s="580"/>
      <c r="J225" s="588">
        <f>-J237</f>
        <v>-11670</v>
      </c>
      <c r="K225" s="580"/>
      <c r="L225" s="581"/>
      <c r="M225" s="580"/>
      <c r="N225" s="580"/>
    </row>
    <row r="226" spans="2:14" s="557" customFormat="1" ht="18.75" x14ac:dyDescent="0.2">
      <c r="B226" s="558"/>
      <c r="C226" s="367"/>
      <c r="D226" s="563"/>
      <c r="H226" s="583">
        <f>SUM(H220:H225)</f>
        <v>28130</v>
      </c>
      <c r="I226" s="306"/>
      <c r="J226" s="583">
        <f>SUM(J220:J225)</f>
        <v>29360</v>
      </c>
      <c r="K226" s="580"/>
      <c r="L226" s="581"/>
      <c r="M226" s="580"/>
      <c r="N226" s="580"/>
    </row>
    <row r="227" spans="2:14" s="557" customFormat="1" ht="18.75" x14ac:dyDescent="0.2">
      <c r="B227" s="558"/>
      <c r="C227" s="367"/>
      <c r="H227" s="580"/>
      <c r="I227" s="580"/>
      <c r="J227" s="580"/>
      <c r="K227" s="580"/>
      <c r="L227" s="581"/>
      <c r="M227" s="580"/>
      <c r="N227" s="580"/>
    </row>
    <row r="228" spans="2:14" s="557" customFormat="1" ht="18.75" x14ac:dyDescent="0.2">
      <c r="B228" s="558"/>
      <c r="C228" s="367" t="s">
        <v>248</v>
      </c>
      <c r="D228" s="563" t="s">
        <v>253</v>
      </c>
      <c r="E228" s="563"/>
      <c r="H228" s="580"/>
      <c r="I228" s="580"/>
      <c r="J228" s="580"/>
      <c r="K228" s="580"/>
      <c r="L228" s="581"/>
      <c r="M228" s="580"/>
      <c r="N228" s="580"/>
    </row>
    <row r="229" spans="2:14" s="557" customFormat="1" ht="18.75" x14ac:dyDescent="0.2">
      <c r="B229" s="558"/>
      <c r="C229" s="367"/>
      <c r="H229" s="580"/>
      <c r="I229" s="580"/>
      <c r="J229" s="580"/>
      <c r="K229" s="580"/>
      <c r="L229" s="581"/>
      <c r="M229" s="580"/>
      <c r="N229" s="580"/>
    </row>
    <row r="230" spans="2:14" s="557" customFormat="1" ht="18.75" x14ac:dyDescent="0.2">
      <c r="B230" s="558"/>
      <c r="C230" s="589">
        <v>-1</v>
      </c>
      <c r="D230" s="557" t="s">
        <v>254</v>
      </c>
      <c r="H230" s="580"/>
      <c r="I230" s="580"/>
      <c r="J230" s="580"/>
      <c r="K230" s="580"/>
      <c r="L230" s="581"/>
      <c r="M230" s="580"/>
      <c r="N230" s="580"/>
    </row>
    <row r="231" spans="2:14" s="557" customFormat="1" ht="18.75" x14ac:dyDescent="0.2">
      <c r="B231" s="558"/>
      <c r="C231" s="367"/>
      <c r="H231" s="771" t="s">
        <v>237</v>
      </c>
      <c r="I231" s="771"/>
      <c r="J231" s="771"/>
      <c r="K231" s="580"/>
      <c r="L231" s="581"/>
      <c r="M231" s="580"/>
      <c r="N231" s="580"/>
    </row>
    <row r="232" spans="2:14" s="557" customFormat="1" ht="18.75" x14ac:dyDescent="0.2">
      <c r="B232" s="558"/>
      <c r="C232" s="367"/>
      <c r="H232" s="582" t="str">
        <f>RIGHT('פרטי התאגיד'!$G$11,4)</f>
        <v>2024</v>
      </c>
      <c r="I232" s="582"/>
      <c r="J232" s="582" t="str">
        <f>RIGHT('פרטי התאגיד'!$G$13,4)</f>
        <v>2023</v>
      </c>
      <c r="K232" s="580"/>
      <c r="L232" s="581"/>
      <c r="M232" s="580"/>
      <c r="N232" s="580"/>
    </row>
    <row r="233" spans="2:14" s="557" customFormat="1" ht="18.75" x14ac:dyDescent="0.2">
      <c r="B233" s="558"/>
      <c r="C233" s="367"/>
      <c r="D233" s="557" t="s">
        <v>255</v>
      </c>
      <c r="H233" s="588">
        <f>J237</f>
        <v>11670</v>
      </c>
      <c r="I233" s="306"/>
      <c r="J233" s="303">
        <v>11829</v>
      </c>
      <c r="K233" s="580"/>
      <c r="L233" s="581"/>
      <c r="M233" s="580"/>
      <c r="N233" s="580"/>
    </row>
    <row r="234" spans="2:14" s="557" customFormat="1" ht="18.75" x14ac:dyDescent="0.2">
      <c r="B234" s="558"/>
      <c r="C234" s="367"/>
      <c r="D234" s="772" t="s">
        <v>256</v>
      </c>
      <c r="E234" s="772"/>
      <c r="F234" s="772"/>
      <c r="H234" s="303">
        <v>3080</v>
      </c>
      <c r="I234" s="582"/>
      <c r="J234" s="303">
        <v>1082</v>
      </c>
      <c r="K234" s="580"/>
      <c r="L234" s="581"/>
      <c r="M234" s="580"/>
      <c r="N234" s="580"/>
    </row>
    <row r="235" spans="2:14" s="557" customFormat="1" ht="18.75" x14ac:dyDescent="0.2">
      <c r="B235" s="558"/>
      <c r="C235" s="367"/>
      <c r="D235" s="557" t="s">
        <v>257</v>
      </c>
      <c r="H235" s="303">
        <f>-1749+3800</f>
        <v>2051</v>
      </c>
      <c r="I235" s="582"/>
      <c r="J235" s="303">
        <v>-1241</v>
      </c>
      <c r="K235" s="580"/>
      <c r="L235" s="581"/>
      <c r="M235" s="580"/>
      <c r="N235" s="580"/>
    </row>
    <row r="236" spans="2:14" s="557" customFormat="1" ht="18.75" x14ac:dyDescent="0.2">
      <c r="B236" s="558"/>
      <c r="C236" s="367"/>
      <c r="D236" s="313" t="s">
        <v>9</v>
      </c>
      <c r="H236" s="303"/>
      <c r="I236" s="582"/>
      <c r="J236" s="303"/>
      <c r="K236" s="580"/>
      <c r="L236" s="581"/>
      <c r="M236" s="580"/>
      <c r="N236" s="580"/>
    </row>
    <row r="237" spans="2:14" s="557" customFormat="1" ht="18.75" x14ac:dyDescent="0.2">
      <c r="B237" s="558"/>
      <c r="C237" s="367"/>
      <c r="D237" s="563" t="s">
        <v>258</v>
      </c>
      <c r="H237" s="583">
        <f>H233+H234+H235+H236</f>
        <v>16801</v>
      </c>
      <c r="I237" s="306"/>
      <c r="J237" s="583">
        <f>J233+J234+J235+J236</f>
        <v>11670</v>
      </c>
      <c r="K237" s="580"/>
      <c r="L237" s="581"/>
      <c r="M237" s="580"/>
      <c r="N237" s="580"/>
    </row>
    <row r="238" spans="2:14" s="557" customFormat="1" ht="18.75" x14ac:dyDescent="0.2">
      <c r="B238" s="558"/>
      <c r="C238" s="367"/>
      <c r="D238" s="565"/>
      <c r="E238" s="565"/>
      <c r="F238" s="565"/>
      <c r="G238" s="565"/>
      <c r="H238" s="580"/>
      <c r="I238" s="580"/>
      <c r="J238" s="580"/>
      <c r="K238" s="580"/>
      <c r="L238" s="581"/>
      <c r="M238" s="580"/>
      <c r="N238" s="580"/>
    </row>
    <row r="239" spans="2:14" s="577" customFormat="1" ht="18.75" x14ac:dyDescent="0.2">
      <c r="B239" s="312" t="s">
        <v>259</v>
      </c>
      <c r="C239" s="366" t="s">
        <v>207</v>
      </c>
      <c r="D239" s="302" t="s">
        <v>260</v>
      </c>
      <c r="E239" s="302"/>
      <c r="F239" s="585"/>
      <c r="G239" s="585"/>
      <c r="H239" s="586"/>
      <c r="I239" s="586"/>
      <c r="J239" s="586"/>
      <c r="K239" s="578"/>
      <c r="L239" s="579"/>
      <c r="M239" s="578"/>
      <c r="N239" s="578"/>
    </row>
    <row r="240" spans="2:14" s="557" customFormat="1" ht="18.75" x14ac:dyDescent="0.2">
      <c r="B240" s="558"/>
      <c r="C240" s="367"/>
      <c r="H240" s="580"/>
      <c r="I240" s="580"/>
      <c r="J240" s="580"/>
      <c r="K240" s="580"/>
      <c r="L240" s="581"/>
      <c r="M240" s="580"/>
      <c r="N240" s="580"/>
    </row>
    <row r="241" spans="2:14" s="557" customFormat="1" ht="18.75" x14ac:dyDescent="0.2">
      <c r="B241" s="558"/>
      <c r="C241" s="367"/>
      <c r="D241" s="559" t="s">
        <v>247</v>
      </c>
      <c r="H241" s="771" t="s">
        <v>237</v>
      </c>
      <c r="I241" s="771"/>
      <c r="J241" s="771"/>
      <c r="K241" s="306"/>
      <c r="L241" s="581"/>
      <c r="M241" s="580"/>
      <c r="N241" s="580"/>
    </row>
    <row r="242" spans="2:14" s="557" customFormat="1" ht="18.75" x14ac:dyDescent="0.2">
      <c r="B242" s="558"/>
      <c r="C242" s="367"/>
      <c r="G242" s="561"/>
      <c r="H242" s="582" t="str">
        <f>RIGHT('פרטי התאגיד'!$G$11,4)</f>
        <v>2024</v>
      </c>
      <c r="I242" s="582"/>
      <c r="J242" s="582" t="str">
        <f>RIGHT('פרטי התאגיד'!$G$13,4)</f>
        <v>2023</v>
      </c>
      <c r="K242" s="306"/>
      <c r="L242" s="581"/>
      <c r="M242" s="580"/>
      <c r="N242" s="580"/>
    </row>
    <row r="243" spans="2:14" s="557" customFormat="1" ht="18.75" x14ac:dyDescent="0.2">
      <c r="B243" s="558"/>
      <c r="C243" s="367"/>
      <c r="E243" s="557" t="s">
        <v>261</v>
      </c>
      <c r="H243" s="303"/>
      <c r="I243" s="582"/>
      <c r="J243" s="303"/>
      <c r="K243" s="306"/>
      <c r="L243" s="581"/>
      <c r="M243" s="580"/>
      <c r="N243" s="580"/>
    </row>
    <row r="244" spans="2:14" s="557" customFormat="1" ht="18.75" x14ac:dyDescent="0.2">
      <c r="B244" s="558"/>
      <c r="C244" s="367"/>
      <c r="E244" s="557" t="s">
        <v>262</v>
      </c>
      <c r="H244" s="303"/>
      <c r="I244" s="582"/>
      <c r="J244" s="303"/>
      <c r="K244" s="306"/>
      <c r="L244" s="581"/>
      <c r="M244" s="580"/>
      <c r="N244" s="580"/>
    </row>
    <row r="245" spans="2:14" s="557" customFormat="1" ht="18.75" x14ac:dyDescent="0.2">
      <c r="B245" s="558"/>
      <c r="C245" s="367"/>
      <c r="E245" s="557" t="s">
        <v>263</v>
      </c>
      <c r="H245" s="303"/>
      <c r="I245" s="582"/>
      <c r="J245" s="303"/>
      <c r="K245" s="306"/>
      <c r="L245" s="581"/>
      <c r="M245" s="580"/>
      <c r="N245" s="580"/>
    </row>
    <row r="246" spans="2:14" s="557" customFormat="1" ht="18.75" x14ac:dyDescent="0.2">
      <c r="B246" s="558"/>
      <c r="C246" s="367"/>
      <c r="E246" s="557" t="s">
        <v>264</v>
      </c>
      <c r="H246" s="303"/>
      <c r="I246" s="582"/>
      <c r="J246" s="303"/>
      <c r="K246" s="306"/>
      <c r="L246" s="581"/>
      <c r="M246" s="580"/>
      <c r="N246" s="580"/>
    </row>
    <row r="247" spans="2:14" s="557" customFormat="1" ht="18.75" x14ac:dyDescent="0.2">
      <c r="B247" s="558"/>
      <c r="C247" s="367"/>
      <c r="E247" s="557" t="s">
        <v>265</v>
      </c>
      <c r="H247" s="303"/>
      <c r="I247" s="582"/>
      <c r="J247" s="303"/>
      <c r="K247" s="306"/>
      <c r="L247" s="581"/>
      <c r="M247" s="580"/>
      <c r="N247" s="580"/>
    </row>
    <row r="248" spans="2:14" s="557" customFormat="1" ht="18.75" x14ac:dyDescent="0.2">
      <c r="B248" s="558"/>
      <c r="C248" s="367"/>
      <c r="E248" s="557" t="s">
        <v>266</v>
      </c>
      <c r="H248" s="303">
        <v>393</v>
      </c>
      <c r="I248" s="582"/>
      <c r="J248" s="303">
        <v>373</v>
      </c>
      <c r="K248" s="306"/>
      <c r="L248" s="581"/>
      <c r="M248" s="580"/>
      <c r="N248" s="580"/>
    </row>
    <row r="249" spans="2:14" s="557" customFormat="1" ht="18.75" x14ac:dyDescent="0.2">
      <c r="B249" s="558"/>
      <c r="C249" s="367"/>
      <c r="E249" s="557" t="s">
        <v>267</v>
      </c>
      <c r="H249" s="303"/>
      <c r="I249" s="582"/>
      <c r="J249" s="303"/>
      <c r="K249" s="306"/>
      <c r="L249" s="581"/>
      <c r="M249" s="580"/>
      <c r="N249" s="580"/>
    </row>
    <row r="250" spans="2:14" s="557" customFormat="1" ht="18.75" x14ac:dyDescent="0.2">
      <c r="B250" s="558"/>
      <c r="C250" s="367"/>
      <c r="E250" s="557" t="s">
        <v>268</v>
      </c>
      <c r="H250" s="303"/>
      <c r="I250" s="582"/>
      <c r="J250" s="303"/>
      <c r="K250" s="306"/>
      <c r="L250" s="581"/>
      <c r="M250" s="580"/>
      <c r="N250" s="580"/>
    </row>
    <row r="251" spans="2:14" s="557" customFormat="1" ht="18.75" x14ac:dyDescent="0.2">
      <c r="B251" s="558"/>
      <c r="C251" s="367"/>
      <c r="E251" s="557" t="s">
        <v>269</v>
      </c>
      <c r="H251" s="303"/>
      <c r="I251" s="306"/>
      <c r="J251" s="303"/>
      <c r="K251" s="306"/>
      <c r="L251" s="581"/>
      <c r="M251" s="580"/>
      <c r="N251" s="580"/>
    </row>
    <row r="252" spans="2:14" s="557" customFormat="1" ht="18.75" x14ac:dyDescent="0.2">
      <c r="B252" s="558"/>
      <c r="C252" s="367"/>
      <c r="E252" s="557" t="s">
        <v>262</v>
      </c>
      <c r="H252" s="303"/>
      <c r="I252" s="582"/>
      <c r="J252" s="303"/>
      <c r="K252" s="306"/>
      <c r="L252" s="581"/>
      <c r="M252" s="580"/>
      <c r="N252" s="580"/>
    </row>
    <row r="253" spans="2:14" s="557" customFormat="1" ht="18.75" x14ac:dyDescent="0.2">
      <c r="B253" s="558"/>
      <c r="C253" s="367"/>
      <c r="D253" s="563"/>
      <c r="E253" s="563"/>
      <c r="F253" s="563"/>
      <c r="G253" s="563"/>
      <c r="H253" s="583">
        <f>SUM(H243:H252)</f>
        <v>393</v>
      </c>
      <c r="I253" s="306"/>
      <c r="J253" s="583">
        <f>SUM(J243:J252)</f>
        <v>373</v>
      </c>
      <c r="K253" s="306"/>
      <c r="L253" s="581"/>
      <c r="M253" s="580"/>
      <c r="N253" s="580"/>
    </row>
    <row r="254" spans="2:14" s="557" customFormat="1" ht="18.75" x14ac:dyDescent="0.2">
      <c r="B254" s="558"/>
      <c r="C254" s="367"/>
      <c r="H254" s="580"/>
      <c r="I254" s="580"/>
      <c r="J254" s="580"/>
      <c r="K254" s="580"/>
      <c r="L254" s="581"/>
      <c r="M254" s="580"/>
      <c r="N254" s="580"/>
    </row>
    <row r="255" spans="2:14" s="557" customFormat="1" ht="18.75" x14ac:dyDescent="0.2">
      <c r="B255" s="558"/>
      <c r="C255" s="367"/>
      <c r="H255" s="580"/>
      <c r="I255" s="580"/>
      <c r="J255" s="580"/>
      <c r="K255" s="580"/>
      <c r="L255" s="581"/>
      <c r="M255" s="580"/>
      <c r="N255" s="580"/>
    </row>
    <row r="256" spans="2:14" s="577" customFormat="1" ht="18.75" x14ac:dyDescent="0.2">
      <c r="B256" s="312" t="s">
        <v>270</v>
      </c>
      <c r="C256" s="366" t="s">
        <v>207</v>
      </c>
      <c r="D256" s="302" t="s">
        <v>82</v>
      </c>
      <c r="E256" s="302"/>
      <c r="F256" s="585"/>
      <c r="G256" s="585"/>
      <c r="H256" s="586"/>
      <c r="I256" s="586"/>
      <c r="J256" s="586"/>
      <c r="K256" s="578"/>
      <c r="L256" s="579"/>
      <c r="M256" s="578"/>
      <c r="N256" s="578"/>
    </row>
    <row r="257" spans="2:14" s="557" customFormat="1" ht="18.75" x14ac:dyDescent="0.2">
      <c r="B257" s="558"/>
      <c r="C257" s="367"/>
      <c r="H257" s="580"/>
      <c r="I257" s="580"/>
      <c r="J257" s="580"/>
      <c r="K257" s="580"/>
      <c r="L257" s="581"/>
      <c r="M257" s="580"/>
      <c r="N257" s="580"/>
    </row>
    <row r="258" spans="2:14" s="557" customFormat="1" ht="18.75" x14ac:dyDescent="0.2">
      <c r="B258" s="558"/>
      <c r="C258" s="367"/>
      <c r="D258" s="559" t="s">
        <v>247</v>
      </c>
      <c r="H258" s="771" t="s">
        <v>237</v>
      </c>
      <c r="I258" s="771"/>
      <c r="J258" s="771"/>
      <c r="K258" s="306"/>
      <c r="L258" s="581"/>
      <c r="M258" s="580"/>
      <c r="N258" s="580"/>
    </row>
    <row r="259" spans="2:14" s="557" customFormat="1" ht="18.75" x14ac:dyDescent="0.2">
      <c r="B259" s="558"/>
      <c r="C259" s="367"/>
      <c r="G259" s="561"/>
      <c r="H259" s="582" t="str">
        <f>RIGHT('פרטי התאגיד'!$G$11,4)</f>
        <v>2024</v>
      </c>
      <c r="I259" s="582"/>
      <c r="J259" s="582" t="str">
        <f>RIGHT('פרטי התאגיד'!$G$13,4)</f>
        <v>2023</v>
      </c>
      <c r="K259" s="306"/>
      <c r="L259" s="581"/>
      <c r="M259" s="580"/>
      <c r="N259" s="580"/>
    </row>
    <row r="260" spans="2:14" s="557" customFormat="1" ht="18.75" x14ac:dyDescent="0.2">
      <c r="B260" s="558"/>
      <c r="C260" s="367"/>
      <c r="D260" s="557" t="s">
        <v>271</v>
      </c>
      <c r="G260" s="561"/>
      <c r="H260" s="303"/>
      <c r="I260" s="582"/>
      <c r="J260" s="303"/>
      <c r="K260" s="306"/>
      <c r="L260" s="581"/>
      <c r="M260" s="580"/>
      <c r="N260" s="580"/>
    </row>
    <row r="261" spans="2:14" s="557" customFormat="1" ht="18.75" x14ac:dyDescent="0.2">
      <c r="B261" s="558"/>
      <c r="C261" s="367"/>
      <c r="D261" s="557" t="s">
        <v>272</v>
      </c>
      <c r="G261" s="561"/>
      <c r="H261" s="303"/>
      <c r="I261" s="582"/>
      <c r="J261" s="303"/>
      <c r="K261" s="306"/>
      <c r="L261" s="581"/>
      <c r="M261" s="580"/>
      <c r="N261" s="580"/>
    </row>
    <row r="262" spans="2:14" s="557" customFormat="1" ht="16.5" customHeight="1" x14ac:dyDescent="0.2">
      <c r="B262" s="558"/>
      <c r="C262" s="367"/>
      <c r="D262" s="557" t="s">
        <v>273</v>
      </c>
      <c r="H262" s="303"/>
      <c r="I262" s="582"/>
      <c r="J262" s="303"/>
      <c r="K262" s="580"/>
      <c r="L262" s="581"/>
      <c r="M262" s="580"/>
      <c r="N262" s="580"/>
    </row>
    <row r="263" spans="2:14" s="557" customFormat="1" ht="18.75" x14ac:dyDescent="0.2">
      <c r="B263" s="558"/>
      <c r="C263" s="367"/>
      <c r="D263" s="563"/>
      <c r="E263" s="563"/>
      <c r="F263" s="563"/>
      <c r="G263" s="563"/>
      <c r="H263" s="583">
        <f>SUM(H260:H262)</f>
        <v>0</v>
      </c>
      <c r="I263" s="306"/>
      <c r="J263" s="583">
        <f>SUM(J260:J262)</f>
        <v>0</v>
      </c>
      <c r="K263" s="580"/>
      <c r="L263" s="581"/>
      <c r="M263" s="580"/>
      <c r="N263" s="580"/>
    </row>
    <row r="264" spans="2:14" s="557" customFormat="1" ht="18.75" x14ac:dyDescent="0.2">
      <c r="B264" s="558"/>
      <c r="C264" s="367"/>
      <c r="H264" s="580"/>
      <c r="I264" s="580"/>
      <c r="J264" s="580"/>
      <c r="K264" s="580"/>
      <c r="L264" s="581"/>
      <c r="M264" s="580"/>
      <c r="N264" s="580"/>
    </row>
    <row r="265" spans="2:14" s="577" customFormat="1" ht="18.75" x14ac:dyDescent="0.2">
      <c r="B265" s="312" t="s">
        <v>274</v>
      </c>
      <c r="C265" s="366" t="s">
        <v>207</v>
      </c>
      <c r="D265" s="302" t="s">
        <v>84</v>
      </c>
      <c r="E265" s="302"/>
      <c r="F265" s="585"/>
      <c r="G265" s="585"/>
      <c r="H265" s="586"/>
      <c r="I265" s="586"/>
      <c r="J265" s="586"/>
      <c r="K265" s="578"/>
      <c r="L265" s="579"/>
      <c r="M265" s="578"/>
      <c r="N265" s="578"/>
    </row>
    <row r="266" spans="2:14" s="557" customFormat="1" ht="18.75" x14ac:dyDescent="0.2">
      <c r="B266" s="558"/>
      <c r="C266" s="367"/>
      <c r="H266" s="580"/>
      <c r="I266" s="580"/>
      <c r="J266" s="580"/>
      <c r="K266" s="580"/>
      <c r="L266" s="581"/>
      <c r="M266" s="580"/>
      <c r="N266" s="580"/>
    </row>
    <row r="267" spans="2:14" s="557" customFormat="1" ht="18.75" x14ac:dyDescent="0.2">
      <c r="B267" s="558"/>
      <c r="C267" s="367"/>
      <c r="D267" s="559" t="s">
        <v>247</v>
      </c>
      <c r="H267" s="771" t="s">
        <v>237</v>
      </c>
      <c r="I267" s="771"/>
      <c r="J267" s="771"/>
      <c r="K267" s="306"/>
      <c r="L267" s="581"/>
      <c r="M267" s="580"/>
      <c r="N267" s="580"/>
    </row>
    <row r="268" spans="2:14" s="557" customFormat="1" ht="18.75" x14ac:dyDescent="0.2">
      <c r="B268" s="558"/>
      <c r="C268" s="367"/>
      <c r="G268" s="559" t="s">
        <v>275</v>
      </c>
      <c r="H268" s="582" t="str">
        <f>RIGHT('פרטי התאגיד'!$G$11,4)</f>
        <v>2024</v>
      </c>
      <c r="I268" s="582"/>
      <c r="J268" s="582" t="str">
        <f>RIGHT('פרטי התאגיד'!$G$13,4)</f>
        <v>2023</v>
      </c>
      <c r="K268" s="306"/>
      <c r="L268" s="581"/>
      <c r="M268" s="580"/>
      <c r="N268" s="580"/>
    </row>
    <row r="269" spans="2:14" s="557" customFormat="1" ht="18.75" x14ac:dyDescent="0.2">
      <c r="B269" s="558"/>
      <c r="C269" s="367"/>
      <c r="D269" s="557" t="s">
        <v>276</v>
      </c>
      <c r="G269" s="647" t="s">
        <v>277</v>
      </c>
      <c r="H269" s="303"/>
      <c r="I269" s="582"/>
      <c r="J269" s="303"/>
      <c r="K269" s="306"/>
      <c r="L269" s="581"/>
      <c r="M269" s="580"/>
      <c r="N269" s="580"/>
    </row>
    <row r="270" spans="2:14" s="557" customFormat="1" ht="18.75" x14ac:dyDescent="0.2">
      <c r="B270" s="558"/>
      <c r="C270" s="367"/>
      <c r="D270" s="557" t="s">
        <v>278</v>
      </c>
      <c r="H270" s="303"/>
      <c r="I270" s="582"/>
      <c r="J270" s="303"/>
      <c r="K270" s="306"/>
      <c r="L270" s="581"/>
      <c r="M270" s="580"/>
      <c r="N270" s="580"/>
    </row>
    <row r="271" spans="2:14" s="557" customFormat="1" ht="18.75" x14ac:dyDescent="0.2">
      <c r="B271" s="558"/>
      <c r="C271" s="367"/>
      <c r="D271" s="557" t="s">
        <v>811</v>
      </c>
      <c r="H271" s="303"/>
      <c r="I271" s="582"/>
      <c r="J271" s="303"/>
      <c r="K271" s="306"/>
      <c r="L271" s="581"/>
      <c r="M271" s="580"/>
      <c r="N271" s="580"/>
    </row>
    <row r="272" spans="2:14" s="557" customFormat="1" ht="18.75" x14ac:dyDescent="0.2">
      <c r="B272" s="558"/>
      <c r="C272" s="367"/>
      <c r="H272" s="303"/>
      <c r="I272" s="582"/>
      <c r="J272" s="303"/>
      <c r="K272" s="306"/>
      <c r="L272" s="581"/>
      <c r="M272" s="580"/>
      <c r="N272" s="580"/>
    </row>
    <row r="273" spans="2:14" s="557" customFormat="1" ht="18.75" x14ac:dyDescent="0.2">
      <c r="B273" s="558"/>
      <c r="C273" s="367"/>
      <c r="H273" s="583">
        <f>SUM(H269:H272)</f>
        <v>0</v>
      </c>
      <c r="I273" s="306"/>
      <c r="J273" s="583">
        <f>SUM(J269:J272)</f>
        <v>0</v>
      </c>
      <c r="K273" s="306"/>
      <c r="L273" s="581"/>
      <c r="M273" s="580"/>
      <c r="N273" s="580"/>
    </row>
    <row r="274" spans="2:14" s="557" customFormat="1" ht="18" customHeight="1" x14ac:dyDescent="0.2">
      <c r="B274" s="558"/>
      <c r="C274" s="367"/>
      <c r="H274" s="580"/>
      <c r="I274" s="580"/>
      <c r="J274" s="580"/>
      <c r="K274" s="580"/>
      <c r="L274" s="581"/>
      <c r="M274" s="580"/>
      <c r="N274" s="580"/>
    </row>
    <row r="275" spans="2:14" s="577" customFormat="1" ht="18.75" x14ac:dyDescent="0.2">
      <c r="B275" s="312" t="s">
        <v>279</v>
      </c>
      <c r="C275" s="366" t="s">
        <v>207</v>
      </c>
      <c r="D275" s="302" t="s">
        <v>280</v>
      </c>
      <c r="E275" s="302"/>
      <c r="F275" s="585"/>
      <c r="G275" s="585"/>
      <c r="H275" s="586"/>
      <c r="I275" s="586"/>
      <c r="J275" s="586"/>
      <c r="K275" s="578"/>
      <c r="L275" s="579"/>
      <c r="M275" s="578"/>
      <c r="N275" s="578"/>
    </row>
    <row r="276" spans="2:14" s="557" customFormat="1" ht="18" customHeight="1" x14ac:dyDescent="0.2">
      <c r="B276" s="558"/>
      <c r="C276" s="367"/>
      <c r="D276" s="563"/>
      <c r="H276" s="580"/>
      <c r="I276" s="580"/>
      <c r="J276" s="580"/>
      <c r="K276" s="580"/>
      <c r="L276" s="581"/>
      <c r="M276" s="580"/>
      <c r="N276" s="580"/>
    </row>
    <row r="277" spans="2:14" s="557" customFormat="1" ht="18" customHeight="1" x14ac:dyDescent="0.2">
      <c r="B277" s="558"/>
      <c r="C277" s="367"/>
      <c r="D277" s="563" t="s">
        <v>281</v>
      </c>
      <c r="E277" s="557" t="s">
        <v>282</v>
      </c>
      <c r="H277" s="582" t="str">
        <f>RIGHT('פרטי התאגיד'!$G$11,4)</f>
        <v>2024</v>
      </c>
      <c r="I277" s="582"/>
      <c r="J277" s="582" t="str">
        <f>RIGHT('פרטי התאגיד'!$G$13,4)</f>
        <v>2023</v>
      </c>
      <c r="K277" s="580"/>
      <c r="L277" s="581"/>
      <c r="M277" s="580"/>
      <c r="N277" s="580"/>
    </row>
    <row r="278" spans="2:14" s="557" customFormat="1" ht="18.75" x14ac:dyDescent="0.2">
      <c r="B278" s="558"/>
      <c r="C278" s="367"/>
      <c r="D278" s="563"/>
      <c r="E278" s="557" t="s">
        <v>283</v>
      </c>
      <c r="H278" s="303"/>
      <c r="I278" s="582"/>
      <c r="J278" s="303"/>
      <c r="K278" s="580"/>
      <c r="L278" s="581"/>
      <c r="M278" s="580"/>
      <c r="N278" s="580"/>
    </row>
    <row r="279" spans="2:14" s="557" customFormat="1" ht="19.5" customHeight="1" x14ac:dyDescent="0.2">
      <c r="B279" s="558"/>
      <c r="C279" s="367"/>
      <c r="D279" s="563"/>
      <c r="E279" s="557" t="s">
        <v>284</v>
      </c>
      <c r="H279" s="303"/>
      <c r="I279" s="582"/>
      <c r="J279" s="303"/>
      <c r="K279" s="580"/>
      <c r="L279" s="581"/>
      <c r="M279" s="580"/>
      <c r="N279" s="580"/>
    </row>
    <row r="280" spans="2:14" s="557" customFormat="1" ht="18" customHeight="1" x14ac:dyDescent="0.2">
      <c r="B280" s="558"/>
      <c r="C280" s="367"/>
      <c r="D280" s="563"/>
      <c r="E280" s="557" t="s">
        <v>285</v>
      </c>
      <c r="H280" s="303"/>
      <c r="I280" s="582"/>
      <c r="J280" s="303"/>
      <c r="K280" s="580"/>
      <c r="L280" s="581"/>
      <c r="M280" s="580"/>
      <c r="N280" s="580"/>
    </row>
    <row r="281" spans="2:14" s="557" customFormat="1" ht="18" customHeight="1" x14ac:dyDescent="0.2">
      <c r="B281" s="558"/>
      <c r="C281" s="367"/>
      <c r="D281" s="563"/>
      <c r="E281" s="557" t="s">
        <v>286</v>
      </c>
      <c r="H281" s="303"/>
      <c r="I281" s="582"/>
      <c r="J281" s="303"/>
      <c r="K281" s="580"/>
      <c r="L281" s="581"/>
      <c r="M281" s="580"/>
      <c r="N281" s="580"/>
    </row>
    <row r="282" spans="2:14" s="557" customFormat="1" ht="18.75" x14ac:dyDescent="0.2">
      <c r="B282" s="558"/>
      <c r="C282" s="367"/>
      <c r="H282" s="583">
        <f>SUM(H278:H281)</f>
        <v>0</v>
      </c>
      <c r="I282" s="306"/>
      <c r="J282" s="583">
        <f>SUM(J278:J281)</f>
        <v>0</v>
      </c>
      <c r="K282" s="580"/>
      <c r="L282" s="581"/>
      <c r="M282" s="580"/>
      <c r="N282" s="580"/>
    </row>
    <row r="283" spans="2:14" s="557" customFormat="1" ht="18.75" x14ac:dyDescent="0.2">
      <c r="B283" s="558"/>
      <c r="C283" s="367"/>
      <c r="D283" s="563" t="s">
        <v>287</v>
      </c>
      <c r="E283" s="557" t="s">
        <v>288</v>
      </c>
      <c r="H283" s="580"/>
      <c r="I283" s="580"/>
      <c r="J283" s="580"/>
      <c r="K283" s="580"/>
      <c r="L283" s="581"/>
      <c r="M283" s="580"/>
      <c r="N283" s="580"/>
    </row>
    <row r="284" spans="2:14" s="557" customFormat="1" ht="18.75" x14ac:dyDescent="0.2">
      <c r="B284" s="558"/>
      <c r="C284" s="367"/>
      <c r="D284" s="563"/>
      <c r="E284" s="557" t="s">
        <v>289</v>
      </c>
      <c r="H284" s="582" t="str">
        <f>RIGHT('פרטי התאגיד'!$G$11,4)</f>
        <v>2024</v>
      </c>
      <c r="I284" s="582"/>
      <c r="J284" s="582" t="str">
        <f>RIGHT('פרטי התאגיד'!$G$13,4)</f>
        <v>2023</v>
      </c>
      <c r="K284" s="580"/>
      <c r="L284" s="581"/>
      <c r="M284" s="580"/>
      <c r="N284" s="580"/>
    </row>
    <row r="285" spans="2:14" s="557" customFormat="1" ht="15.75" customHeight="1" x14ac:dyDescent="0.2">
      <c r="B285" s="558"/>
      <c r="C285" s="367"/>
      <c r="D285" s="563"/>
      <c r="E285" s="557" t="s">
        <v>290</v>
      </c>
      <c r="H285" s="303"/>
      <c r="I285" s="582"/>
      <c r="J285" s="303"/>
      <c r="K285" s="580"/>
      <c r="L285" s="581"/>
      <c r="M285" s="580"/>
      <c r="N285" s="580"/>
    </row>
    <row r="286" spans="2:14" s="557" customFormat="1" ht="18.75" x14ac:dyDescent="0.2">
      <c r="B286" s="558"/>
      <c r="C286" s="367"/>
      <c r="D286" s="563"/>
      <c r="E286" s="557" t="s">
        <v>291</v>
      </c>
      <c r="H286" s="303"/>
      <c r="I286" s="582"/>
      <c r="J286" s="303"/>
      <c r="K286" s="580"/>
      <c r="L286" s="581"/>
      <c r="M286" s="580"/>
      <c r="N286" s="580"/>
    </row>
    <row r="287" spans="2:14" s="557" customFormat="1" ht="18.75" x14ac:dyDescent="0.2">
      <c r="B287" s="558"/>
      <c r="C287" s="367"/>
      <c r="H287" s="583">
        <f>SUM(H285:H286)</f>
        <v>0</v>
      </c>
      <c r="I287" s="306"/>
      <c r="J287" s="583">
        <f>SUM(J285:J286)</f>
        <v>0</v>
      </c>
      <c r="K287" s="580"/>
      <c r="L287" s="581"/>
      <c r="M287" s="580"/>
      <c r="N287" s="580"/>
    </row>
    <row r="288" spans="2:14" s="557" customFormat="1" ht="19.5" thickBot="1" x14ac:dyDescent="0.25">
      <c r="B288" s="590"/>
      <c r="C288" s="591"/>
      <c r="D288" s="592"/>
      <c r="E288" s="592"/>
      <c r="F288" s="592"/>
      <c r="G288" s="592"/>
      <c r="H288" s="593"/>
      <c r="I288" s="593"/>
      <c r="J288" s="593"/>
      <c r="K288" s="593"/>
      <c r="L288" s="594"/>
      <c r="M288" s="580"/>
      <c r="N288" s="580"/>
    </row>
    <row r="289" spans="2:16" s="557" customFormat="1" ht="18.75" x14ac:dyDescent="0.2">
      <c r="B289" s="595"/>
      <c r="C289" s="367"/>
      <c r="D289" s="596"/>
      <c r="H289" s="767"/>
      <c r="I289" s="767"/>
      <c r="J289" s="767"/>
      <c r="K289" s="306"/>
      <c r="L289" s="767"/>
      <c r="M289" s="767"/>
      <c r="N289" s="767"/>
      <c r="O289" s="768"/>
      <c r="P289" s="768"/>
    </row>
    <row r="290" spans="2:16" s="557" customFormat="1" ht="18.75" x14ac:dyDescent="0.2">
      <c r="B290" s="595"/>
      <c r="C290" s="367"/>
      <c r="H290" s="580"/>
      <c r="I290" s="580"/>
      <c r="J290" s="580"/>
      <c r="K290" s="597"/>
      <c r="L290" s="597"/>
      <c r="M290" s="580"/>
      <c r="N290" s="306"/>
      <c r="P290" s="561"/>
    </row>
    <row r="291" spans="2:16" s="557" customFormat="1" ht="18.75" x14ac:dyDescent="0.2">
      <c r="B291" s="595"/>
      <c r="C291" s="367"/>
      <c r="H291" s="580"/>
      <c r="I291" s="580"/>
      <c r="J291" s="580"/>
      <c r="K291" s="306"/>
      <c r="L291" s="306"/>
      <c r="M291" s="580"/>
      <c r="N291" s="306"/>
      <c r="P291" s="561"/>
    </row>
    <row r="292" spans="2:16" s="557" customFormat="1" ht="18.75" x14ac:dyDescent="0.2">
      <c r="B292" s="595"/>
      <c r="C292" s="367"/>
      <c r="H292" s="580"/>
      <c r="I292" s="580"/>
      <c r="J292" s="580"/>
      <c r="K292" s="306"/>
      <c r="L292" s="306"/>
      <c r="M292" s="580"/>
      <c r="N292" s="306"/>
      <c r="P292" s="561"/>
    </row>
    <row r="293" spans="2:16" s="557" customFormat="1" ht="18.75" x14ac:dyDescent="0.2">
      <c r="B293" s="595"/>
      <c r="C293" s="367"/>
      <c r="H293" s="580"/>
      <c r="I293" s="580"/>
      <c r="J293" s="580"/>
      <c r="K293" s="306"/>
      <c r="L293" s="306"/>
      <c r="M293" s="580"/>
      <c r="N293" s="306"/>
      <c r="P293" s="561"/>
    </row>
    <row r="294" spans="2:16" s="557" customFormat="1" ht="18.75" x14ac:dyDescent="0.2">
      <c r="B294" s="595"/>
      <c r="C294" s="367"/>
      <c r="H294" s="580"/>
      <c r="I294" s="580"/>
      <c r="J294" s="580"/>
      <c r="K294" s="306"/>
      <c r="L294" s="306"/>
      <c r="M294" s="580"/>
      <c r="N294" s="306"/>
      <c r="P294" s="561"/>
    </row>
    <row r="295" spans="2:16" s="557" customFormat="1" ht="18.75" x14ac:dyDescent="0.2">
      <c r="B295" s="595"/>
      <c r="C295" s="367"/>
      <c r="D295" s="596"/>
      <c r="H295" s="597"/>
      <c r="I295" s="597"/>
      <c r="J295" s="597"/>
      <c r="K295" s="306"/>
      <c r="L295" s="306"/>
      <c r="M295" s="580"/>
      <c r="N295" s="306"/>
      <c r="P295" s="561"/>
    </row>
    <row r="296" spans="2:16" s="557" customFormat="1" ht="18.75" x14ac:dyDescent="0.2">
      <c r="B296" s="595"/>
      <c r="C296" s="367"/>
      <c r="H296" s="306"/>
      <c r="I296" s="306"/>
      <c r="J296" s="306"/>
      <c r="K296" s="306"/>
      <c r="L296" s="306"/>
      <c r="M296" s="580"/>
      <c r="N296" s="306"/>
      <c r="P296" s="561"/>
    </row>
    <row r="297" spans="2:16" s="557" customFormat="1" ht="18.75" x14ac:dyDescent="0.2">
      <c r="B297" s="595"/>
      <c r="C297" s="367"/>
      <c r="H297" s="306"/>
      <c r="I297" s="306"/>
      <c r="J297" s="306"/>
      <c r="K297" s="306"/>
      <c r="L297" s="306"/>
      <c r="M297" s="580"/>
      <c r="N297" s="306"/>
      <c r="P297" s="561"/>
    </row>
    <row r="298" spans="2:16" s="557" customFormat="1" ht="18.75" x14ac:dyDescent="0.2">
      <c r="B298" s="595"/>
      <c r="C298" s="367"/>
      <c r="H298" s="306"/>
      <c r="I298" s="598"/>
      <c r="J298" s="306"/>
      <c r="K298" s="306"/>
      <c r="L298" s="306"/>
      <c r="M298" s="580"/>
      <c r="N298" s="306"/>
      <c r="P298" s="561"/>
    </row>
    <row r="299" spans="2:16" s="557" customFormat="1" ht="18.75" x14ac:dyDescent="0.2">
      <c r="B299" s="595"/>
      <c r="C299" s="367"/>
      <c r="H299" s="306"/>
      <c r="I299" s="306"/>
      <c r="J299" s="306"/>
      <c r="K299" s="306"/>
      <c r="L299" s="306"/>
      <c r="M299" s="580"/>
      <c r="N299" s="306"/>
      <c r="P299" s="561"/>
    </row>
    <row r="300" spans="2:16" s="557" customFormat="1" ht="18.75" x14ac:dyDescent="0.2">
      <c r="B300" s="595"/>
      <c r="C300" s="367"/>
      <c r="H300" s="306"/>
      <c r="I300" s="306"/>
      <c r="J300" s="306"/>
      <c r="K300" s="306"/>
      <c r="L300" s="306"/>
      <c r="M300" s="580"/>
      <c r="N300" s="306"/>
      <c r="P300" s="561"/>
    </row>
    <row r="301" spans="2:16" s="557" customFormat="1" ht="18.75" x14ac:dyDescent="0.2">
      <c r="B301" s="595"/>
      <c r="C301" s="367"/>
      <c r="H301" s="306"/>
      <c r="I301" s="306"/>
      <c r="J301" s="306"/>
      <c r="K301" s="306"/>
      <c r="L301" s="306"/>
      <c r="M301" s="580"/>
      <c r="N301" s="306"/>
      <c r="P301" s="561"/>
    </row>
    <row r="302" spans="2:16" s="557" customFormat="1" ht="18.75" x14ac:dyDescent="0.2">
      <c r="B302" s="595"/>
      <c r="C302" s="367"/>
      <c r="H302" s="306"/>
      <c r="I302" s="306"/>
      <c r="J302" s="306"/>
      <c r="K302" s="306"/>
      <c r="L302" s="306"/>
      <c r="M302" s="580"/>
      <c r="N302" s="306"/>
      <c r="P302" s="561"/>
    </row>
    <row r="303" spans="2:16" s="557" customFormat="1" ht="18.75" x14ac:dyDescent="0.2">
      <c r="B303" s="595"/>
      <c r="C303" s="367"/>
      <c r="H303" s="306"/>
      <c r="I303" s="598"/>
      <c r="J303" s="306"/>
      <c r="K303" s="306"/>
      <c r="L303" s="306"/>
      <c r="M303" s="580"/>
      <c r="N303" s="597"/>
      <c r="P303" s="599"/>
    </row>
    <row r="304" spans="2:16" s="557" customFormat="1" ht="18.75" x14ac:dyDescent="0.2">
      <c r="B304" s="595"/>
      <c r="C304" s="367"/>
      <c r="H304" s="306"/>
      <c r="I304" s="306"/>
      <c r="J304" s="306"/>
      <c r="K304" s="306"/>
      <c r="L304" s="306"/>
      <c r="M304" s="580"/>
      <c r="N304" s="306"/>
      <c r="P304" s="561"/>
    </row>
    <row r="305" spans="2:16" s="557" customFormat="1" ht="18.75" x14ac:dyDescent="0.2">
      <c r="B305" s="595"/>
      <c r="C305" s="367"/>
      <c r="H305" s="306"/>
      <c r="I305" s="306"/>
      <c r="J305" s="306"/>
      <c r="K305" s="306"/>
      <c r="L305" s="306"/>
      <c r="M305" s="580"/>
      <c r="N305" s="306"/>
      <c r="P305" s="561"/>
    </row>
    <row r="306" spans="2:16" s="557" customFormat="1" ht="18.75" x14ac:dyDescent="0.2">
      <c r="B306" s="595"/>
      <c r="C306" s="367"/>
      <c r="H306" s="306"/>
      <c r="I306" s="306"/>
      <c r="J306" s="306"/>
      <c r="K306" s="306"/>
      <c r="L306" s="306"/>
      <c r="M306" s="580"/>
      <c r="N306" s="580"/>
    </row>
    <row r="307" spans="2:16" s="557" customFormat="1" ht="18.75" x14ac:dyDescent="0.2">
      <c r="B307" s="595"/>
      <c r="C307" s="367"/>
      <c r="H307" s="306"/>
      <c r="I307" s="306"/>
      <c r="J307" s="306"/>
      <c r="K307" s="306"/>
      <c r="L307" s="306"/>
      <c r="M307" s="580"/>
      <c r="N307" s="580"/>
    </row>
    <row r="308" spans="2:16" s="557" customFormat="1" ht="18.75" x14ac:dyDescent="0.2">
      <c r="B308" s="595"/>
      <c r="C308" s="367"/>
      <c r="D308" s="769"/>
      <c r="E308" s="769"/>
      <c r="H308" s="306"/>
      <c r="I308" s="306"/>
      <c r="J308" s="306"/>
      <c r="K308" s="306"/>
      <c r="L308" s="306"/>
      <c r="M308" s="580"/>
      <c r="N308" s="580"/>
    </row>
    <row r="309" spans="2:16" s="557" customFormat="1" ht="18.75" x14ac:dyDescent="0.2">
      <c r="B309" s="595"/>
      <c r="C309" s="367"/>
      <c r="D309" s="596"/>
      <c r="E309" s="596"/>
      <c r="H309" s="306"/>
      <c r="I309" s="306"/>
      <c r="J309" s="306"/>
      <c r="K309" s="306"/>
      <c r="L309" s="306"/>
      <c r="M309" s="580"/>
      <c r="N309" s="580"/>
    </row>
    <row r="310" spans="2:16" s="557" customFormat="1" ht="18.75" x14ac:dyDescent="0.2">
      <c r="B310" s="595"/>
      <c r="C310" s="367"/>
      <c r="H310" s="306"/>
      <c r="I310" s="306"/>
      <c r="J310" s="306"/>
      <c r="K310" s="306"/>
      <c r="L310" s="306"/>
      <c r="M310" s="580"/>
      <c r="N310" s="580"/>
    </row>
    <row r="311" spans="2:16" s="557" customFormat="1" ht="18.75" x14ac:dyDescent="0.2">
      <c r="B311" s="595"/>
      <c r="C311" s="367"/>
      <c r="H311" s="306"/>
      <c r="I311" s="306"/>
      <c r="J311" s="306"/>
      <c r="K311" s="306"/>
      <c r="L311" s="306"/>
      <c r="M311" s="580"/>
      <c r="N311" s="580"/>
    </row>
    <row r="312" spans="2:16" s="557" customFormat="1" ht="18.75" x14ac:dyDescent="0.2">
      <c r="B312" s="595"/>
      <c r="C312" s="367"/>
      <c r="H312" s="306"/>
      <c r="I312" s="598"/>
      <c r="J312" s="306"/>
      <c r="K312" s="306"/>
      <c r="L312" s="306"/>
      <c r="M312" s="580"/>
      <c r="N312" s="580"/>
    </row>
    <row r="313" spans="2:16" s="557" customFormat="1" ht="18.75" x14ac:dyDescent="0.2">
      <c r="B313" s="595"/>
      <c r="C313" s="367"/>
      <c r="H313" s="306"/>
      <c r="I313" s="306"/>
      <c r="J313" s="306"/>
      <c r="K313" s="306"/>
      <c r="L313" s="306"/>
      <c r="M313" s="580"/>
      <c r="N313" s="580"/>
    </row>
    <row r="314" spans="2:16" s="557" customFormat="1" ht="18.75" x14ac:dyDescent="0.2">
      <c r="B314" s="595"/>
      <c r="C314" s="367"/>
      <c r="H314" s="306"/>
      <c r="I314" s="306"/>
      <c r="J314" s="306"/>
      <c r="K314" s="306"/>
      <c r="L314" s="306"/>
      <c r="M314" s="580"/>
      <c r="N314" s="580"/>
    </row>
    <row r="315" spans="2:16" s="557" customFormat="1" ht="18.75" x14ac:dyDescent="0.2">
      <c r="B315" s="595"/>
      <c r="C315" s="367"/>
      <c r="H315" s="306"/>
      <c r="I315" s="306"/>
      <c r="J315" s="306"/>
      <c r="K315" s="306"/>
      <c r="L315" s="306"/>
      <c r="M315" s="580"/>
      <c r="N315" s="580"/>
    </row>
    <row r="316" spans="2:16" s="557" customFormat="1" ht="18.75" x14ac:dyDescent="0.2">
      <c r="B316" s="595"/>
      <c r="C316" s="367"/>
      <c r="H316" s="306"/>
      <c r="I316" s="598"/>
      <c r="J316" s="306"/>
      <c r="K316" s="597"/>
      <c r="L316" s="597"/>
      <c r="M316" s="580"/>
      <c r="N316" s="580"/>
    </row>
    <row r="317" spans="2:16" s="557" customFormat="1" ht="18.75" x14ac:dyDescent="0.2">
      <c r="B317" s="595"/>
      <c r="C317" s="367"/>
      <c r="H317" s="306"/>
      <c r="I317" s="306"/>
      <c r="J317" s="306"/>
      <c r="K317" s="306"/>
      <c r="L317" s="306"/>
      <c r="M317" s="580"/>
      <c r="N317" s="580"/>
    </row>
    <row r="318" spans="2:16" s="557" customFormat="1" ht="18.75" x14ac:dyDescent="0.2">
      <c r="B318" s="595"/>
      <c r="C318" s="367"/>
      <c r="H318" s="306"/>
      <c r="I318" s="306"/>
      <c r="J318" s="306"/>
      <c r="K318" s="306"/>
      <c r="L318" s="306"/>
      <c r="M318" s="580"/>
      <c r="N318" s="580"/>
    </row>
    <row r="319" spans="2:16" ht="18.75" x14ac:dyDescent="0.3">
      <c r="B319" s="222"/>
      <c r="C319" s="162"/>
      <c r="D319" s="770"/>
      <c r="E319" s="770"/>
      <c r="F319" s="770"/>
      <c r="H319" s="117"/>
      <c r="I319" s="117"/>
      <c r="J319" s="117"/>
      <c r="K319" s="117"/>
      <c r="L319" s="166"/>
      <c r="M319" s="166"/>
      <c r="N319" s="166"/>
    </row>
    <row r="320" spans="2:16" ht="18.75" x14ac:dyDescent="0.3">
      <c r="B320" s="222"/>
      <c r="C320" s="162"/>
      <c r="D320" s="770"/>
      <c r="E320" s="770"/>
      <c r="F320" s="770"/>
      <c r="H320" s="117"/>
      <c r="I320" s="117"/>
      <c r="J320" s="117"/>
      <c r="K320" s="166"/>
      <c r="L320" s="166"/>
      <c r="M320" s="166"/>
      <c r="N320" s="166"/>
    </row>
    <row r="321" spans="3:14" x14ac:dyDescent="0.25">
      <c r="C321" s="162"/>
      <c r="G321" s="600"/>
      <c r="H321" s="350"/>
      <c r="I321" s="350"/>
      <c r="J321" s="350"/>
      <c r="K321" s="166"/>
      <c r="L321" s="166"/>
      <c r="M321" s="166"/>
      <c r="N321" s="166"/>
    </row>
    <row r="322" spans="3:14" x14ac:dyDescent="0.25">
      <c r="C322" s="162"/>
      <c r="H322" s="117"/>
      <c r="I322" s="117"/>
      <c r="J322" s="117"/>
      <c r="K322" s="166"/>
      <c r="L322" s="166"/>
      <c r="M322" s="166"/>
      <c r="N322" s="166"/>
    </row>
    <row r="323" spans="3:14" x14ac:dyDescent="0.25">
      <c r="H323" s="117"/>
      <c r="I323" s="117"/>
      <c r="J323" s="117"/>
      <c r="K323" s="166"/>
      <c r="L323" s="166"/>
      <c r="M323" s="166"/>
      <c r="N323" s="166"/>
    </row>
    <row r="324" spans="3:14" x14ac:dyDescent="0.25">
      <c r="H324" s="82"/>
      <c r="I324" s="82"/>
      <c r="J324" s="82"/>
    </row>
  </sheetData>
  <sheetProtection algorithmName="SHA-512" hashValue="+VdsnwQx2rMbDArIfJtwfhoxAlYKISaVkY87CwNLaqLy99PzBl3jDa9i3D41/KJLHz6TiAElpV6kSqmXt3XROQ==" saltValue="bKL7K+0kgIVfMUTFDWpJhw==" spinCount="100000" sheet="1" objects="1" scenarios="1"/>
  <mergeCells count="51">
    <mergeCell ref="D33:E33"/>
    <mergeCell ref="D34:E34"/>
    <mergeCell ref="D35:E35"/>
    <mergeCell ref="D36:E36"/>
    <mergeCell ref="F29:K29"/>
    <mergeCell ref="F30:K30"/>
    <mergeCell ref="F31:K31"/>
    <mergeCell ref="F32:K32"/>
    <mergeCell ref="D30:E30"/>
    <mergeCell ref="D31:E31"/>
    <mergeCell ref="D32:E32"/>
    <mergeCell ref="F17:K24"/>
    <mergeCell ref="F33:K33"/>
    <mergeCell ref="F34:K34"/>
    <mergeCell ref="F35:K35"/>
    <mergeCell ref="F36:K36"/>
    <mergeCell ref="D11:E11"/>
    <mergeCell ref="D13:E13"/>
    <mergeCell ref="D28:E28"/>
    <mergeCell ref="D29:E29"/>
    <mergeCell ref="D15:E15"/>
    <mergeCell ref="D42:J46"/>
    <mergeCell ref="D52:J56"/>
    <mergeCell ref="H203:J203"/>
    <mergeCell ref="D96:J102"/>
    <mergeCell ref="D106:J110"/>
    <mergeCell ref="D114:J118"/>
    <mergeCell ref="D126:J130"/>
    <mergeCell ref="D135:J139"/>
    <mergeCell ref="D146:J150"/>
    <mergeCell ref="D155:J159"/>
    <mergeCell ref="D164:J168"/>
    <mergeCell ref="D172:J174"/>
    <mergeCell ref="D179:J181"/>
    <mergeCell ref="H190:J190"/>
    <mergeCell ref="E199:G199"/>
    <mergeCell ref="D64:J77"/>
    <mergeCell ref="D319:F320"/>
    <mergeCell ref="H218:J218"/>
    <mergeCell ref="D222:F222"/>
    <mergeCell ref="H231:J231"/>
    <mergeCell ref="D234:F234"/>
    <mergeCell ref="H241:J241"/>
    <mergeCell ref="H258:J258"/>
    <mergeCell ref="H267:J267"/>
    <mergeCell ref="H289:J289"/>
    <mergeCell ref="D78:J88"/>
    <mergeCell ref="E211:G211"/>
    <mergeCell ref="L289:N289"/>
    <mergeCell ref="O289:P289"/>
    <mergeCell ref="D308:E308"/>
  </mergeCells>
  <hyperlinks>
    <hyperlink ref="A6" location="'תוכן עניינים'!A1" display="תוכן עניינים" xr:uid="{00000000-0004-0000-0A00-000000000000}"/>
  </hyperlink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12">
    <pageSetUpPr fitToPage="1"/>
  </sheetPr>
  <dimension ref="A1:P103"/>
  <sheetViews>
    <sheetView showGridLines="0" rightToLeft="1" topLeftCell="A56" zoomScale="85" zoomScaleNormal="85" workbookViewId="0">
      <selection activeCell="B60" sqref="B60:L84"/>
    </sheetView>
  </sheetViews>
  <sheetFormatPr defaultColWidth="8" defaultRowHeight="15.75" x14ac:dyDescent="0.25"/>
  <cols>
    <col min="1" max="1" width="11.75" style="18" customWidth="1"/>
    <col min="2" max="2" width="8" style="18"/>
    <col min="3" max="3" width="8.625" style="18" customWidth="1"/>
    <col min="4" max="4" width="5.25" style="18" customWidth="1"/>
    <col min="5" max="5" width="8.75" style="18" customWidth="1"/>
    <col min="6" max="6" width="13.5" style="18" customWidth="1"/>
    <col min="7" max="7" width="17.125" style="79" customWidth="1"/>
    <col min="8" max="8" width="17.25" style="79" bestFit="1" customWidth="1"/>
    <col min="9" max="12" width="17.25" style="79" customWidth="1"/>
    <col min="13" max="13" width="13.75" style="79" customWidth="1"/>
    <col min="14" max="14" width="19.125" style="79" customWidth="1"/>
    <col min="15" max="15" width="19.25" style="94" customWidth="1"/>
    <col min="16" max="16" width="1.75" style="18" customWidth="1"/>
    <col min="17" max="16384" width="8" style="18"/>
  </cols>
  <sheetData>
    <row r="1" spans="1:16" ht="31.5" x14ac:dyDescent="0.5">
      <c r="A1" s="11" t="s">
        <v>776</v>
      </c>
      <c r="B1" s="5"/>
      <c r="C1" s="12">
        <f>הנחיות!C1</f>
        <v>2024</v>
      </c>
      <c r="D1" s="5"/>
      <c r="E1" s="5"/>
      <c r="F1" s="5"/>
      <c r="G1" s="5"/>
      <c r="H1" s="298"/>
      <c r="I1" s="73"/>
      <c r="J1" s="73"/>
      <c r="K1" s="6"/>
      <c r="L1" s="6"/>
      <c r="M1" s="393"/>
      <c r="N1" s="393"/>
      <c r="O1" s="394"/>
      <c r="P1" s="393"/>
    </row>
    <row r="2" spans="1:16" ht="31.5" x14ac:dyDescent="0.5">
      <c r="A2" s="13" t="s">
        <v>772</v>
      </c>
      <c r="B2" s="6"/>
      <c r="C2" s="15" t="s">
        <v>814</v>
      </c>
      <c r="D2" s="6"/>
      <c r="E2" s="6"/>
      <c r="F2" s="6"/>
      <c r="G2" s="6"/>
      <c r="H2" s="299"/>
      <c r="I2" s="73"/>
      <c r="J2" s="73"/>
      <c r="K2" s="6"/>
      <c r="L2" s="6"/>
      <c r="M2" s="393"/>
      <c r="N2" s="393"/>
      <c r="O2" s="394"/>
      <c r="P2" s="393"/>
    </row>
    <row r="3" spans="1:16" ht="16.5" customHeight="1" x14ac:dyDescent="0.5">
      <c r="A3" s="7"/>
      <c r="B3" s="6"/>
      <c r="C3" s="6"/>
      <c r="D3" s="6"/>
      <c r="E3" s="6"/>
      <c r="F3" s="6"/>
      <c r="G3" s="6"/>
      <c r="H3" s="299"/>
      <c r="I3" s="73"/>
      <c r="J3" s="73"/>
      <c r="K3" s="6"/>
      <c r="L3" s="6"/>
      <c r="M3" s="393"/>
      <c r="N3" s="393"/>
      <c r="O3" s="394"/>
      <c r="P3" s="393"/>
    </row>
    <row r="4" spans="1:16" ht="31.5" x14ac:dyDescent="0.5">
      <c r="A4" s="169" t="s">
        <v>773</v>
      </c>
      <c r="B4" s="170"/>
      <c r="C4" s="171" t="str">
        <f>IF('פרטי התאגיד'!$G$9=0, "", 'פרטי התאגיד'!$G$9)</f>
        <v>פלגי מוצקין בע"מ</v>
      </c>
      <c r="D4" s="172"/>
      <c r="E4" s="172"/>
      <c r="F4" s="172"/>
      <c r="G4" s="172"/>
      <c r="H4" s="300"/>
      <c r="I4" s="174"/>
      <c r="J4" s="174"/>
      <c r="K4" s="172"/>
      <c r="L4" s="172"/>
      <c r="M4" s="395"/>
      <c r="N4" s="395"/>
      <c r="O4" s="396"/>
      <c r="P4" s="397"/>
    </row>
    <row r="5" spans="1:16" ht="16.5" customHeight="1" x14ac:dyDescent="0.25">
      <c r="G5" s="18"/>
      <c r="H5" s="18"/>
      <c r="I5" s="18"/>
      <c r="J5" s="18"/>
      <c r="K5" s="18"/>
      <c r="L5" s="18"/>
      <c r="M5" s="18"/>
      <c r="N5" s="18"/>
      <c r="O5" s="283"/>
    </row>
    <row r="6" spans="1:16" ht="21.75" customHeight="1" x14ac:dyDescent="0.3">
      <c r="A6" s="30" t="s">
        <v>1</v>
      </c>
      <c r="B6" s="30"/>
      <c r="G6" s="18"/>
      <c r="H6" s="18"/>
      <c r="I6" s="18"/>
      <c r="J6" s="18"/>
      <c r="K6" s="18"/>
      <c r="L6" s="18"/>
      <c r="M6" s="18"/>
      <c r="N6" s="18"/>
      <c r="O6" s="283"/>
    </row>
    <row r="7" spans="1:16" ht="21.75" customHeight="1" x14ac:dyDescent="0.3">
      <c r="A7" s="30" t="s">
        <v>823</v>
      </c>
      <c r="B7" s="30"/>
      <c r="G7" s="18"/>
      <c r="H7" s="18"/>
      <c r="I7" s="18"/>
      <c r="J7" s="18"/>
      <c r="K7" s="18"/>
      <c r="L7" s="18"/>
      <c r="M7" s="18"/>
      <c r="N7" s="18"/>
      <c r="O7" s="283"/>
    </row>
    <row r="8" spans="1:16" ht="21.75" customHeight="1" thickBot="1" x14ac:dyDescent="0.35">
      <c r="A8" s="30" t="s">
        <v>824</v>
      </c>
      <c r="B8" s="30"/>
      <c r="G8" s="18"/>
      <c r="H8" s="18"/>
      <c r="I8" s="18"/>
      <c r="J8" s="18"/>
      <c r="K8" s="18"/>
      <c r="L8" s="18"/>
      <c r="M8" s="18"/>
      <c r="N8" s="18"/>
      <c r="O8" s="283"/>
    </row>
    <row r="9" spans="1:16" ht="54.75" customHeight="1" x14ac:dyDescent="0.3">
      <c r="A9" s="314"/>
      <c r="B9" s="318" t="s">
        <v>292</v>
      </c>
      <c r="C9" s="319" t="s">
        <v>207</v>
      </c>
      <c r="D9" s="320" t="s">
        <v>86</v>
      </c>
      <c r="E9" s="318"/>
      <c r="F9" s="319"/>
      <c r="G9" s="799" t="s">
        <v>813</v>
      </c>
      <c r="H9" s="799" t="s">
        <v>812</v>
      </c>
      <c r="I9" s="799" t="s">
        <v>293</v>
      </c>
      <c r="J9" s="799" t="s">
        <v>294</v>
      </c>
      <c r="K9" s="799" t="s">
        <v>295</v>
      </c>
      <c r="L9" s="799" t="s">
        <v>296</v>
      </c>
      <c r="M9" s="799" t="s">
        <v>297</v>
      </c>
      <c r="N9" s="799" t="s">
        <v>298</v>
      </c>
      <c r="O9" s="793" t="s">
        <v>138</v>
      </c>
      <c r="P9" s="308"/>
    </row>
    <row r="10" spans="1:16" ht="18" customHeight="1" x14ac:dyDescent="0.25">
      <c r="A10" s="315"/>
      <c r="B10" s="321"/>
      <c r="C10" s="3"/>
      <c r="D10" s="3"/>
      <c r="E10" s="244"/>
      <c r="F10" s="3"/>
      <c r="G10" s="792"/>
      <c r="H10" s="792"/>
      <c r="I10" s="792"/>
      <c r="J10" s="792"/>
      <c r="K10" s="792"/>
      <c r="L10" s="792"/>
      <c r="M10" s="792"/>
      <c r="N10" s="792"/>
      <c r="O10" s="721"/>
      <c r="P10" s="231"/>
    </row>
    <row r="11" spans="1:16" ht="14.25" customHeight="1" x14ac:dyDescent="0.25">
      <c r="A11" s="315"/>
      <c r="B11" s="322"/>
      <c r="D11" s="285"/>
      <c r="E11" s="286"/>
      <c r="F11" s="286"/>
      <c r="G11" s="792"/>
      <c r="H11" s="792"/>
      <c r="I11" s="792"/>
      <c r="J11" s="792"/>
      <c r="K11" s="792"/>
      <c r="L11" s="792"/>
      <c r="M11" s="792"/>
      <c r="N11" s="792"/>
      <c r="O11" s="721"/>
      <c r="P11" s="231"/>
    </row>
    <row r="12" spans="1:16" ht="18.75" x14ac:dyDescent="0.25">
      <c r="A12" s="315"/>
      <c r="B12" s="322"/>
      <c r="D12" s="794" t="s">
        <v>290</v>
      </c>
      <c r="E12" s="795"/>
      <c r="F12" s="795"/>
      <c r="P12" s="231"/>
    </row>
    <row r="13" spans="1:16" x14ac:dyDescent="0.25">
      <c r="A13" s="315"/>
      <c r="B13" s="322"/>
      <c r="P13" s="231"/>
    </row>
    <row r="14" spans="1:16" x14ac:dyDescent="0.25">
      <c r="A14" s="315"/>
      <c r="B14" s="322"/>
      <c r="C14" s="166" t="s">
        <v>248</v>
      </c>
      <c r="D14" s="166" t="str">
        <f>+ IF(LEN('פרטי התאגיד'!G13)=0,'פרטי התאגיד'!G13,IF(LEN('פרטי התאגיד'!G13)&gt;4,'פרטי התאגיד'!G13,"עלות ליום "&amp;"1.1."&amp;'פרטי התאגיד'!G13))</f>
        <v>עלות ליום 1.1.2023</v>
      </c>
      <c r="E14" s="166"/>
      <c r="F14" s="166"/>
      <c r="G14" s="323">
        <v>116829</v>
      </c>
      <c r="H14" s="323">
        <v>234939</v>
      </c>
      <c r="I14" s="323">
        <v>14763</v>
      </c>
      <c r="J14" s="323">
        <v>6477</v>
      </c>
      <c r="K14" s="323">
        <v>236</v>
      </c>
      <c r="L14" s="323"/>
      <c r="M14" s="323">
        <v>153</v>
      </c>
      <c r="N14" s="323">
        <v>839</v>
      </c>
      <c r="O14" s="162">
        <f>G14+H14+M14+N14+L14+K14+I14+J14</f>
        <v>374236</v>
      </c>
      <c r="P14" s="231"/>
    </row>
    <row r="15" spans="1:16" x14ac:dyDescent="0.25">
      <c r="A15" s="315"/>
      <c r="B15" s="322"/>
      <c r="C15" s="166"/>
      <c r="D15" s="166" t="s">
        <v>299</v>
      </c>
      <c r="E15" s="166"/>
      <c r="F15" s="166"/>
      <c r="G15" s="323">
        <v>5865</v>
      </c>
      <c r="H15" s="323">
        <v>24831</v>
      </c>
      <c r="I15" s="323">
        <v>235</v>
      </c>
      <c r="J15" s="323">
        <v>10663</v>
      </c>
      <c r="K15" s="323">
        <v>0</v>
      </c>
      <c r="L15" s="323">
        <v>0</v>
      </c>
      <c r="M15" s="323">
        <v>0</v>
      </c>
      <c r="N15" s="323">
        <v>14</v>
      </c>
      <c r="O15" s="162">
        <f>G15+H15+M15+N15+L15+K15+I15+J15</f>
        <v>41608</v>
      </c>
      <c r="P15" s="231"/>
    </row>
    <row r="16" spans="1:16" x14ac:dyDescent="0.25">
      <c r="A16" s="315"/>
      <c r="B16" s="322"/>
      <c r="C16" s="166"/>
      <c r="D16" s="166" t="s">
        <v>300</v>
      </c>
      <c r="E16" s="166"/>
      <c r="F16" s="166"/>
      <c r="G16" s="323"/>
      <c r="H16" s="323"/>
      <c r="I16" s="323"/>
      <c r="J16" s="323"/>
      <c r="K16" s="323"/>
      <c r="L16" s="323"/>
      <c r="M16" s="323"/>
      <c r="N16" s="323"/>
      <c r="O16" s="162">
        <f>G16+H16+M16+N16+L16+K16+I16+J16</f>
        <v>0</v>
      </c>
      <c r="P16" s="231"/>
    </row>
    <row r="17" spans="1:16" x14ac:dyDescent="0.25">
      <c r="A17" s="315"/>
      <c r="B17" s="322"/>
      <c r="C17" s="166"/>
      <c r="D17" s="166" t="s">
        <v>301</v>
      </c>
      <c r="E17" s="166"/>
      <c r="F17" s="166"/>
      <c r="G17" s="323">
        <v>-76</v>
      </c>
      <c r="H17" s="323">
        <v>-170</v>
      </c>
      <c r="I17" s="323"/>
      <c r="J17" s="323"/>
      <c r="K17" s="323"/>
      <c r="L17" s="323"/>
      <c r="M17" s="323"/>
      <c r="N17" s="323"/>
      <c r="O17" s="162">
        <f>G17+H17+M17+N17+L17+K17+I17+J17</f>
        <v>-246</v>
      </c>
      <c r="P17" s="231"/>
    </row>
    <row r="18" spans="1:16" x14ac:dyDescent="0.25">
      <c r="A18" s="315"/>
      <c r="B18" s="322"/>
      <c r="C18" s="166" t="s">
        <v>302</v>
      </c>
      <c r="D18" s="166" t="s">
        <v>303</v>
      </c>
      <c r="E18" s="166"/>
      <c r="F18" s="166"/>
      <c r="G18" s="323"/>
      <c r="H18" s="323"/>
      <c r="I18" s="323"/>
      <c r="J18" s="323"/>
      <c r="K18" s="323"/>
      <c r="L18" s="323"/>
      <c r="M18" s="323"/>
      <c r="N18" s="323"/>
      <c r="O18" s="162">
        <f>G18+H18+M18+N18+L18+K18+I18+J18</f>
        <v>0</v>
      </c>
      <c r="P18" s="231"/>
    </row>
    <row r="19" spans="1:16" s="283" customFormat="1" x14ac:dyDescent="0.25">
      <c r="A19" s="316"/>
      <c r="B19" s="324"/>
      <c r="C19" s="337"/>
      <c r="D19" s="337" t="str">
        <f>IF(LEN('פרטי התאגיד'!G13)=0,"","יתרה ליום "&amp;"31.12."&amp;RIGHT('פרטי התאגיד'!G13,4))</f>
        <v>יתרה ליום 31.12.2023</v>
      </c>
      <c r="E19" s="337"/>
      <c r="F19" s="337"/>
      <c r="G19" s="339">
        <f t="shared" ref="G19:O19" si="0">SUM(G14:G18)</f>
        <v>122618</v>
      </c>
      <c r="H19" s="339">
        <f t="shared" si="0"/>
        <v>259600</v>
      </c>
      <c r="I19" s="339">
        <f t="shared" si="0"/>
        <v>14998</v>
      </c>
      <c r="J19" s="339">
        <f t="shared" si="0"/>
        <v>17140</v>
      </c>
      <c r="K19" s="339">
        <f t="shared" si="0"/>
        <v>236</v>
      </c>
      <c r="L19" s="339">
        <f t="shared" si="0"/>
        <v>0</v>
      </c>
      <c r="M19" s="339">
        <f t="shared" si="0"/>
        <v>153</v>
      </c>
      <c r="N19" s="339">
        <f t="shared" si="0"/>
        <v>853</v>
      </c>
      <c r="O19" s="305">
        <f t="shared" si="0"/>
        <v>415598</v>
      </c>
      <c r="P19" s="325"/>
    </row>
    <row r="20" spans="1:16" x14ac:dyDescent="0.25">
      <c r="A20" s="315"/>
      <c r="B20" s="322"/>
      <c r="C20" s="166"/>
      <c r="D20" s="166" t="str">
        <f>"עלות ליום "&amp;"1.1."&amp;RIGHT('פרטי התאגיד'!G11,4)</f>
        <v>עלות ליום 1.1.2024</v>
      </c>
      <c r="E20" s="166"/>
      <c r="F20" s="166"/>
      <c r="G20" s="117">
        <f t="shared" ref="G20:O20" si="1">G19</f>
        <v>122618</v>
      </c>
      <c r="H20" s="117">
        <f t="shared" si="1"/>
        <v>259600</v>
      </c>
      <c r="I20" s="117">
        <f t="shared" si="1"/>
        <v>14998</v>
      </c>
      <c r="J20" s="117">
        <f t="shared" si="1"/>
        <v>17140</v>
      </c>
      <c r="K20" s="117">
        <f t="shared" si="1"/>
        <v>236</v>
      </c>
      <c r="L20" s="117">
        <f t="shared" si="1"/>
        <v>0</v>
      </c>
      <c r="M20" s="117">
        <f t="shared" si="1"/>
        <v>153</v>
      </c>
      <c r="N20" s="117">
        <f t="shared" si="1"/>
        <v>853</v>
      </c>
      <c r="O20" s="162">
        <f t="shared" si="1"/>
        <v>415598</v>
      </c>
      <c r="P20" s="231"/>
    </row>
    <row r="21" spans="1:16" x14ac:dyDescent="0.25">
      <c r="A21" s="315"/>
      <c r="B21" s="322"/>
      <c r="C21" s="166"/>
      <c r="D21" s="166" t="s">
        <v>304</v>
      </c>
      <c r="E21" s="166"/>
      <c r="F21" s="166"/>
      <c r="G21" s="323"/>
      <c r="H21" s="323"/>
      <c r="I21" s="323"/>
      <c r="J21" s="323"/>
      <c r="K21" s="323"/>
      <c r="L21" s="323"/>
      <c r="M21" s="323"/>
      <c r="N21" s="323"/>
      <c r="O21" s="162">
        <f>G21+H21+M21+N21+L21+K21+I21+J21</f>
        <v>0</v>
      </c>
      <c r="P21" s="231"/>
    </row>
    <row r="22" spans="1:16" x14ac:dyDescent="0.25">
      <c r="A22" s="315"/>
      <c r="B22" s="322"/>
      <c r="C22" s="166"/>
      <c r="D22" s="166" t="s">
        <v>299</v>
      </c>
      <c r="E22" s="166"/>
      <c r="F22" s="166"/>
      <c r="G22" s="323">
        <v>4395</v>
      </c>
      <c r="H22" s="323">
        <v>17576</v>
      </c>
      <c r="I22" s="323">
        <v>20</v>
      </c>
      <c r="J22" s="323">
        <v>4773</v>
      </c>
      <c r="K22" s="323">
        <v>0</v>
      </c>
      <c r="L22" s="323">
        <v>0</v>
      </c>
      <c r="M22" s="323">
        <v>0</v>
      </c>
      <c r="N22" s="323">
        <v>21</v>
      </c>
      <c r="O22" s="162">
        <f>G22+H22+M22+N22+L22+K22+I22+J22</f>
        <v>26785</v>
      </c>
      <c r="P22" s="231"/>
    </row>
    <row r="23" spans="1:16" x14ac:dyDescent="0.25">
      <c r="A23" s="315"/>
      <c r="B23" s="322"/>
      <c r="C23" s="166"/>
      <c r="D23" s="166" t="s">
        <v>301</v>
      </c>
      <c r="E23" s="166"/>
      <c r="F23" s="166"/>
      <c r="G23" s="323">
        <v>-694</v>
      </c>
      <c r="H23" s="323">
        <v>-1459</v>
      </c>
      <c r="I23" s="323"/>
      <c r="J23" s="323"/>
      <c r="K23" s="323"/>
      <c r="L23" s="323"/>
      <c r="M23" s="323"/>
      <c r="N23" s="323"/>
      <c r="O23" s="162">
        <f>G23+H23+M23+N23+L23+K23+I23+J23</f>
        <v>-2153</v>
      </c>
      <c r="P23" s="231"/>
    </row>
    <row r="24" spans="1:16" x14ac:dyDescent="0.25">
      <c r="A24" s="315"/>
      <c r="B24" s="322"/>
      <c r="C24" s="166" t="s">
        <v>302</v>
      </c>
      <c r="D24" s="166" t="s">
        <v>305</v>
      </c>
      <c r="E24" s="166"/>
      <c r="F24" s="166"/>
      <c r="G24" s="323"/>
      <c r="H24" s="323"/>
      <c r="I24" s="323"/>
      <c r="J24" s="323"/>
      <c r="K24" s="323"/>
      <c r="L24" s="323"/>
      <c r="M24" s="323"/>
      <c r="N24" s="323"/>
      <c r="O24" s="162">
        <f>G24+H24+M24+N24+L24+K24+I24+J24</f>
        <v>0</v>
      </c>
      <c r="P24" s="231"/>
    </row>
    <row r="25" spans="1:16" s="283" customFormat="1" x14ac:dyDescent="0.25">
      <c r="A25" s="316"/>
      <c r="B25" s="324"/>
      <c r="C25" s="337"/>
      <c r="D25" s="337" t="str">
        <f>"יתרה ליום "&amp;"31.12."&amp;RIGHT('פרטי התאגיד'!G11,4)</f>
        <v>יתרה ליום 31.12.2024</v>
      </c>
      <c r="E25" s="337"/>
      <c r="F25" s="337"/>
      <c r="G25" s="339">
        <f t="shared" ref="G25:N25" si="2">SUM(G20:G24)</f>
        <v>126319</v>
      </c>
      <c r="H25" s="339">
        <f t="shared" si="2"/>
        <v>275717</v>
      </c>
      <c r="I25" s="339">
        <f t="shared" si="2"/>
        <v>15018</v>
      </c>
      <c r="J25" s="339">
        <f t="shared" si="2"/>
        <v>21913</v>
      </c>
      <c r="K25" s="339">
        <f t="shared" si="2"/>
        <v>236</v>
      </c>
      <c r="L25" s="339">
        <f t="shared" si="2"/>
        <v>0</v>
      </c>
      <c r="M25" s="339">
        <f t="shared" si="2"/>
        <v>153</v>
      </c>
      <c r="N25" s="339">
        <f t="shared" si="2"/>
        <v>874</v>
      </c>
      <c r="O25" s="305">
        <f>G25+H25+M25+N25+L25+K25+I25+J25</f>
        <v>440230</v>
      </c>
      <c r="P25" s="325"/>
    </row>
    <row r="26" spans="1:16" x14ac:dyDescent="0.25">
      <c r="A26" s="315"/>
      <c r="B26" s="322"/>
      <c r="C26" s="166"/>
      <c r="D26" s="166"/>
      <c r="E26" s="166"/>
      <c r="F26" s="166"/>
      <c r="G26" s="165"/>
      <c r="H26" s="165"/>
      <c r="I26" s="165"/>
      <c r="J26" s="165"/>
      <c r="K26" s="165"/>
      <c r="L26" s="165"/>
      <c r="M26" s="165"/>
      <c r="N26" s="165"/>
      <c r="O26" s="177"/>
      <c r="P26" s="231"/>
    </row>
    <row r="27" spans="1:16" x14ac:dyDescent="0.25">
      <c r="A27" s="315"/>
      <c r="B27" s="322"/>
      <c r="C27" s="166"/>
      <c r="D27" s="166"/>
      <c r="E27" s="166"/>
      <c r="F27" s="166"/>
      <c r="G27" s="165"/>
      <c r="H27" s="165"/>
      <c r="I27" s="165"/>
      <c r="J27" s="165"/>
      <c r="K27" s="165"/>
      <c r="L27" s="165"/>
      <c r="M27" s="165"/>
      <c r="N27" s="165"/>
      <c r="O27" s="177"/>
      <c r="P27" s="231"/>
    </row>
    <row r="28" spans="1:16" ht="18.75" x14ac:dyDescent="0.4">
      <c r="A28" s="315"/>
      <c r="B28" s="326"/>
      <c r="C28" s="117"/>
      <c r="D28" s="796" t="s">
        <v>306</v>
      </c>
      <c r="E28" s="797"/>
      <c r="F28" s="797"/>
      <c r="G28" s="165"/>
      <c r="H28" s="165"/>
      <c r="I28" s="165"/>
      <c r="J28" s="165"/>
      <c r="K28" s="165"/>
      <c r="L28" s="165"/>
      <c r="M28" s="165"/>
      <c r="N28" s="165"/>
      <c r="O28" s="177"/>
      <c r="P28" s="231"/>
    </row>
    <row r="29" spans="1:16" ht="18" x14ac:dyDescent="0.4">
      <c r="A29" s="315"/>
      <c r="B29" s="326"/>
      <c r="C29" s="117"/>
      <c r="D29" s="338"/>
      <c r="E29" s="338"/>
      <c r="F29" s="166"/>
      <c r="G29" s="165"/>
      <c r="H29" s="165"/>
      <c r="I29" s="165"/>
      <c r="J29" s="165"/>
      <c r="K29" s="165"/>
      <c r="L29" s="165"/>
      <c r="M29" s="165"/>
      <c r="N29" s="165"/>
      <c r="O29" s="177"/>
      <c r="P29" s="231"/>
    </row>
    <row r="30" spans="1:16" ht="18" x14ac:dyDescent="0.4">
      <c r="A30" s="315"/>
      <c r="B30" s="326"/>
      <c r="C30" s="117"/>
      <c r="D30" s="166" t="str">
        <f>"פחת נצבר "&amp; IF(LEN('פרטי התאגיד'!G13)=0,"",IF(LEN('פרטי התאגיד'!G13)&gt;4,'פרטי התאגיד'!G13,"עלות ליום "&amp;"1.1."&amp;'פרטי התאגיד'!G13))</f>
        <v>פחת נצבר עלות ליום 1.1.2023</v>
      </c>
      <c r="E30" s="166"/>
      <c r="F30" s="166"/>
      <c r="G30" s="323">
        <v>55810</v>
      </c>
      <c r="H30" s="323">
        <v>102687</v>
      </c>
      <c r="I30" s="323">
        <v>14306</v>
      </c>
      <c r="J30" s="323">
        <v>2942</v>
      </c>
      <c r="K30" s="323">
        <v>228</v>
      </c>
      <c r="L30" s="323">
        <v>0</v>
      </c>
      <c r="M30" s="323">
        <v>103</v>
      </c>
      <c r="N30" s="323">
        <v>472</v>
      </c>
      <c r="O30" s="162">
        <f t="shared" ref="O30:O39" si="3">G30+H30+M30+N30+L30+K30+I30+J30</f>
        <v>176548</v>
      </c>
      <c r="P30" s="231"/>
    </row>
    <row r="31" spans="1:16" x14ac:dyDescent="0.25">
      <c r="A31" s="315"/>
      <c r="B31" s="322"/>
      <c r="C31" s="166"/>
      <c r="D31" s="166" t="s">
        <v>304</v>
      </c>
      <c r="E31" s="166"/>
      <c r="F31" s="166"/>
      <c r="G31" s="323"/>
      <c r="H31" s="323"/>
      <c r="I31" s="323"/>
      <c r="J31" s="323"/>
      <c r="K31" s="323"/>
      <c r="L31" s="323"/>
      <c r="M31" s="323"/>
      <c r="N31" s="323"/>
      <c r="O31" s="162">
        <f t="shared" si="3"/>
        <v>0</v>
      </c>
      <c r="P31" s="231"/>
    </row>
    <row r="32" spans="1:16" ht="18" x14ac:dyDescent="0.4">
      <c r="A32" s="315"/>
      <c r="B32" s="326"/>
      <c r="C32" s="117"/>
      <c r="D32" s="166" t="s">
        <v>307</v>
      </c>
      <c r="E32" s="166"/>
      <c r="F32" s="166"/>
      <c r="G32" s="323">
        <v>3032</v>
      </c>
      <c r="H32" s="323">
        <v>6581</v>
      </c>
      <c r="I32" s="323">
        <v>23</v>
      </c>
      <c r="J32" s="323">
        <v>1370</v>
      </c>
      <c r="K32" s="323">
        <v>4</v>
      </c>
      <c r="L32" s="323">
        <v>0</v>
      </c>
      <c r="M32" s="323">
        <v>21</v>
      </c>
      <c r="N32" s="323">
        <v>76</v>
      </c>
      <c r="O32" s="162">
        <f t="shared" si="3"/>
        <v>11107</v>
      </c>
      <c r="P32" s="231"/>
    </row>
    <row r="33" spans="1:16" ht="18" x14ac:dyDescent="0.4">
      <c r="A33" s="315"/>
      <c r="B33" s="326"/>
      <c r="C33" s="117"/>
      <c r="D33" s="166" t="s">
        <v>308</v>
      </c>
      <c r="E33" s="166"/>
      <c r="F33" s="166"/>
      <c r="G33" s="323"/>
      <c r="H33" s="323"/>
      <c r="I33" s="323"/>
      <c r="J33" s="323"/>
      <c r="K33" s="323"/>
      <c r="L33" s="323"/>
      <c r="M33" s="323"/>
      <c r="N33" s="323"/>
      <c r="O33" s="162">
        <f t="shared" si="3"/>
        <v>0</v>
      </c>
      <c r="P33" s="231"/>
    </row>
    <row r="34" spans="1:16" x14ac:dyDescent="0.25">
      <c r="A34" s="315"/>
      <c r="B34" s="322"/>
      <c r="C34" s="166"/>
      <c r="D34" s="337" t="str">
        <f>IF(LEN('פרטי התאגיד'!G13)=0,"","יתרה ליום "&amp;"31.12."&amp;RIGHT('פרטי התאגיד'!G13,4))</f>
        <v>יתרה ליום 31.12.2023</v>
      </c>
      <c r="E34" s="337"/>
      <c r="F34" s="166"/>
      <c r="G34" s="339">
        <f t="shared" ref="G34:N34" si="4">SUM(G30:G33)</f>
        <v>58842</v>
      </c>
      <c r="H34" s="339">
        <f t="shared" si="4"/>
        <v>109268</v>
      </c>
      <c r="I34" s="339">
        <f t="shared" si="4"/>
        <v>14329</v>
      </c>
      <c r="J34" s="339">
        <f t="shared" si="4"/>
        <v>4312</v>
      </c>
      <c r="K34" s="339">
        <f t="shared" si="4"/>
        <v>232</v>
      </c>
      <c r="L34" s="339">
        <f t="shared" si="4"/>
        <v>0</v>
      </c>
      <c r="M34" s="339">
        <f t="shared" si="4"/>
        <v>124</v>
      </c>
      <c r="N34" s="339">
        <f t="shared" si="4"/>
        <v>548</v>
      </c>
      <c r="O34" s="305">
        <f t="shared" si="3"/>
        <v>187655</v>
      </c>
      <c r="P34" s="231"/>
    </row>
    <row r="35" spans="1:16" ht="18" x14ac:dyDescent="0.4">
      <c r="A35" s="315"/>
      <c r="B35" s="326"/>
      <c r="C35" s="117"/>
      <c r="D35" s="166" t="str">
        <f>"פחת נצבר ליום "&amp;"1.1."&amp;RIGHT('פרטי התאגיד'!G11,4)</f>
        <v>פחת נצבר ליום 1.1.2024</v>
      </c>
      <c r="E35" s="166"/>
      <c r="F35" s="166"/>
      <c r="G35" s="117">
        <f t="shared" ref="G35:N35" si="5">G34</f>
        <v>58842</v>
      </c>
      <c r="H35" s="117">
        <f t="shared" si="5"/>
        <v>109268</v>
      </c>
      <c r="I35" s="117">
        <f t="shared" si="5"/>
        <v>14329</v>
      </c>
      <c r="J35" s="117">
        <f t="shared" si="5"/>
        <v>4312</v>
      </c>
      <c r="K35" s="117">
        <f t="shared" si="5"/>
        <v>232</v>
      </c>
      <c r="L35" s="117">
        <f t="shared" si="5"/>
        <v>0</v>
      </c>
      <c r="M35" s="117">
        <f t="shared" si="5"/>
        <v>124</v>
      </c>
      <c r="N35" s="117">
        <f t="shared" si="5"/>
        <v>548</v>
      </c>
      <c r="O35" s="162">
        <f t="shared" si="3"/>
        <v>187655</v>
      </c>
      <c r="P35" s="231"/>
    </row>
    <row r="36" spans="1:16" x14ac:dyDescent="0.25">
      <c r="A36" s="315"/>
      <c r="B36" s="322"/>
      <c r="C36" s="166"/>
      <c r="D36" s="166" t="s">
        <v>300</v>
      </c>
      <c r="E36" s="166"/>
      <c r="F36" s="166"/>
      <c r="G36" s="323"/>
      <c r="H36" s="323"/>
      <c r="I36" s="323"/>
      <c r="J36" s="323"/>
      <c r="K36" s="323"/>
      <c r="L36" s="323"/>
      <c r="M36" s="323"/>
      <c r="N36" s="323"/>
      <c r="O36" s="162">
        <f t="shared" si="3"/>
        <v>0</v>
      </c>
      <c r="P36" s="231"/>
    </row>
    <row r="37" spans="1:16" ht="18" x14ac:dyDescent="0.4">
      <c r="A37" s="315"/>
      <c r="B37" s="326"/>
      <c r="C37" s="117"/>
      <c r="D37" s="166" t="s">
        <v>307</v>
      </c>
      <c r="E37" s="166"/>
      <c r="F37" s="166"/>
      <c r="G37" s="323">
        <v>3180</v>
      </c>
      <c r="H37" s="323">
        <v>7332</v>
      </c>
      <c r="I37" s="323">
        <v>43</v>
      </c>
      <c r="J37" s="323">
        <v>2778</v>
      </c>
      <c r="K37" s="323">
        <v>3</v>
      </c>
      <c r="L37" s="323">
        <v>0</v>
      </c>
      <c r="M37" s="323">
        <v>4</v>
      </c>
      <c r="N37" s="323">
        <v>71</v>
      </c>
      <c r="O37" s="162">
        <f t="shared" si="3"/>
        <v>13411</v>
      </c>
      <c r="P37" s="231"/>
    </row>
    <row r="38" spans="1:16" ht="18" x14ac:dyDescent="0.4">
      <c r="A38" s="315"/>
      <c r="B38" s="326"/>
      <c r="C38" s="117"/>
      <c r="D38" s="166" t="s">
        <v>308</v>
      </c>
      <c r="E38" s="166"/>
      <c r="F38" s="166"/>
      <c r="G38" s="323"/>
      <c r="H38" s="323"/>
      <c r="I38" s="323"/>
      <c r="J38" s="323"/>
      <c r="K38" s="323"/>
      <c r="L38" s="323"/>
      <c r="M38" s="323"/>
      <c r="N38" s="323"/>
      <c r="O38" s="162">
        <f t="shared" si="3"/>
        <v>0</v>
      </c>
      <c r="P38" s="231"/>
    </row>
    <row r="39" spans="1:16" x14ac:dyDescent="0.25">
      <c r="A39" s="315"/>
      <c r="B39" s="322"/>
      <c r="C39" s="166"/>
      <c r="D39" s="337" t="str">
        <f>"יתרה ליום "&amp;"31.12."&amp;RIGHT('פרטי התאגיד'!G11,4)</f>
        <v>יתרה ליום 31.12.2024</v>
      </c>
      <c r="E39" s="166"/>
      <c r="F39" s="166"/>
      <c r="G39" s="339">
        <f t="shared" ref="G39:M39" si="6">SUM(G35:G38)</f>
        <v>62022</v>
      </c>
      <c r="H39" s="339">
        <f t="shared" si="6"/>
        <v>116600</v>
      </c>
      <c r="I39" s="339">
        <f t="shared" si="6"/>
        <v>14372</v>
      </c>
      <c r="J39" s="339">
        <f t="shared" si="6"/>
        <v>7090</v>
      </c>
      <c r="K39" s="339">
        <f t="shared" si="6"/>
        <v>235</v>
      </c>
      <c r="L39" s="339">
        <f t="shared" si="6"/>
        <v>0</v>
      </c>
      <c r="M39" s="339">
        <f t="shared" si="6"/>
        <v>128</v>
      </c>
      <c r="N39" s="339">
        <f>SUM(N35:N38)</f>
        <v>619</v>
      </c>
      <c r="O39" s="305">
        <f t="shared" si="3"/>
        <v>201066</v>
      </c>
      <c r="P39" s="231"/>
    </row>
    <row r="40" spans="1:16" x14ac:dyDescent="0.25">
      <c r="A40" s="315"/>
      <c r="B40" s="322"/>
      <c r="C40" s="166"/>
      <c r="D40" s="166"/>
      <c r="E40" s="166"/>
      <c r="F40" s="166"/>
      <c r="G40" s="165"/>
      <c r="H40" s="165"/>
      <c r="I40" s="165"/>
      <c r="J40" s="165"/>
      <c r="K40" s="165"/>
      <c r="L40" s="165"/>
      <c r="M40" s="165"/>
      <c r="N40" s="165"/>
      <c r="O40" s="177"/>
      <c r="P40" s="231"/>
    </row>
    <row r="41" spans="1:16" ht="18.75" x14ac:dyDescent="0.25">
      <c r="A41" s="315"/>
      <c r="B41" s="322"/>
      <c r="C41" s="166"/>
      <c r="D41" s="796" t="s">
        <v>309</v>
      </c>
      <c r="E41" s="797"/>
      <c r="F41" s="797"/>
      <c r="G41" s="165"/>
      <c r="H41" s="165"/>
      <c r="I41" s="165"/>
      <c r="J41" s="165"/>
      <c r="K41" s="165"/>
      <c r="L41" s="165"/>
      <c r="M41" s="165"/>
      <c r="N41" s="165"/>
      <c r="O41" s="177"/>
      <c r="P41" s="231"/>
    </row>
    <row r="42" spans="1:16" ht="12" customHeight="1" x14ac:dyDescent="0.25">
      <c r="A42" s="315"/>
      <c r="B42" s="229"/>
      <c r="C42" s="166"/>
      <c r="D42" s="796"/>
      <c r="E42" s="797"/>
      <c r="F42" s="797"/>
      <c r="G42" s="165"/>
      <c r="H42" s="165"/>
      <c r="I42" s="165"/>
      <c r="J42" s="165"/>
      <c r="K42" s="165"/>
      <c r="L42" s="165"/>
      <c r="M42" s="165"/>
      <c r="N42" s="165"/>
      <c r="O42" s="177"/>
      <c r="P42" s="231"/>
    </row>
    <row r="43" spans="1:16" ht="9" customHeight="1" x14ac:dyDescent="0.25">
      <c r="A43" s="315"/>
      <c r="B43" s="322"/>
      <c r="C43" s="166"/>
      <c r="D43" s="166"/>
      <c r="E43" s="166"/>
      <c r="F43" s="166"/>
      <c r="G43" s="340"/>
      <c r="H43" s="340"/>
      <c r="I43" s="340"/>
      <c r="J43" s="340"/>
      <c r="K43" s="340"/>
      <c r="L43" s="340"/>
      <c r="M43" s="340"/>
      <c r="N43" s="340"/>
      <c r="O43" s="340"/>
      <c r="P43" s="231"/>
    </row>
    <row r="44" spans="1:16" x14ac:dyDescent="0.25">
      <c r="A44" s="315"/>
      <c r="B44" s="322"/>
      <c r="C44" s="166"/>
      <c r="D44" s="337" t="str">
        <f>IF(LEN('פרטי התאגיד'!G13)=0,"","יתרה ליום "&amp;"31.12."&amp;RIGHT('פרטי התאגיד'!G13,4))</f>
        <v>יתרה ליום 31.12.2023</v>
      </c>
      <c r="E44" s="166"/>
      <c r="F44" s="166"/>
      <c r="G44" s="339">
        <f t="shared" ref="G44:N44" si="7">G19-G34</f>
        <v>63776</v>
      </c>
      <c r="H44" s="339">
        <f t="shared" si="7"/>
        <v>150332</v>
      </c>
      <c r="I44" s="339">
        <f t="shared" si="7"/>
        <v>669</v>
      </c>
      <c r="J44" s="339">
        <f t="shared" si="7"/>
        <v>12828</v>
      </c>
      <c r="K44" s="339">
        <f t="shared" si="7"/>
        <v>4</v>
      </c>
      <c r="L44" s="339">
        <f t="shared" si="7"/>
        <v>0</v>
      </c>
      <c r="M44" s="339">
        <f t="shared" si="7"/>
        <v>29</v>
      </c>
      <c r="N44" s="339">
        <f t="shared" si="7"/>
        <v>305</v>
      </c>
      <c r="O44" s="305">
        <f>O19-O34</f>
        <v>227943</v>
      </c>
      <c r="P44" s="231"/>
    </row>
    <row r="45" spans="1:16" x14ac:dyDescent="0.25">
      <c r="A45" s="315"/>
      <c r="B45" s="322"/>
      <c r="C45" s="166"/>
      <c r="D45" s="337" t="str">
        <f>"יתרה ליום "&amp;"31.12."&amp;RIGHT('פרטי התאגיד'!G11,4)</f>
        <v>יתרה ליום 31.12.2024</v>
      </c>
      <c r="E45" s="166"/>
      <c r="F45" s="166"/>
      <c r="G45" s="339">
        <f t="shared" ref="G45:N45" si="8">G25-G39</f>
        <v>64297</v>
      </c>
      <c r="H45" s="339">
        <f t="shared" si="8"/>
        <v>159117</v>
      </c>
      <c r="I45" s="339">
        <f t="shared" si="8"/>
        <v>646</v>
      </c>
      <c r="J45" s="339">
        <f t="shared" si="8"/>
        <v>14823</v>
      </c>
      <c r="K45" s="339">
        <f t="shared" si="8"/>
        <v>1</v>
      </c>
      <c r="L45" s="339">
        <f t="shared" si="8"/>
        <v>0</v>
      </c>
      <c r="M45" s="339">
        <f t="shared" si="8"/>
        <v>25</v>
      </c>
      <c r="N45" s="339">
        <f t="shared" si="8"/>
        <v>255</v>
      </c>
      <c r="O45" s="305">
        <f>O25-O39</f>
        <v>239164</v>
      </c>
      <c r="P45" s="231"/>
    </row>
    <row r="46" spans="1:16" x14ac:dyDescent="0.25">
      <c r="A46" s="315"/>
      <c r="B46" s="322"/>
      <c r="C46" s="166"/>
      <c r="D46" s="166"/>
      <c r="E46" s="166"/>
      <c r="F46" s="166"/>
      <c r="G46" s="165"/>
      <c r="H46" s="165"/>
      <c r="I46" s="165"/>
      <c r="J46" s="165"/>
      <c r="K46" s="165"/>
      <c r="L46" s="165"/>
      <c r="M46" s="165"/>
      <c r="N46" s="165"/>
      <c r="O46" s="177"/>
      <c r="P46" s="231"/>
    </row>
    <row r="47" spans="1:16" x14ac:dyDescent="0.25">
      <c r="A47" s="315"/>
      <c r="B47" s="322"/>
      <c r="P47" s="231"/>
    </row>
    <row r="48" spans="1:16" ht="15.75" customHeight="1" x14ac:dyDescent="0.25">
      <c r="A48" s="315"/>
      <c r="B48" s="322"/>
      <c r="P48" s="231"/>
    </row>
    <row r="49" spans="1:16" ht="15.75" customHeight="1" x14ac:dyDescent="0.25">
      <c r="A49" s="315"/>
      <c r="B49" s="322"/>
      <c r="P49" s="231"/>
    </row>
    <row r="50" spans="1:16" ht="15.75" customHeight="1" x14ac:dyDescent="0.25">
      <c r="A50" s="315"/>
      <c r="B50" s="322"/>
      <c r="C50" s="18" t="s">
        <v>248</v>
      </c>
      <c r="D50" s="798" t="s">
        <v>310</v>
      </c>
      <c r="E50" s="798"/>
      <c r="F50" s="798"/>
      <c r="P50" s="231"/>
    </row>
    <row r="51" spans="1:16" ht="15.75" customHeight="1" x14ac:dyDescent="0.25">
      <c r="A51" s="315"/>
      <c r="B51" s="322"/>
      <c r="D51" s="798"/>
      <c r="E51" s="798"/>
      <c r="F51" s="798"/>
      <c r="G51" s="323"/>
      <c r="H51" s="323"/>
      <c r="I51" s="323"/>
      <c r="J51" s="323"/>
      <c r="K51" s="323"/>
      <c r="L51" s="323"/>
      <c r="M51" s="323"/>
      <c r="N51" s="323"/>
      <c r="O51" s="164">
        <f>G51+H51+M51+N51+L51+K51+I51+J51</f>
        <v>0</v>
      </c>
      <c r="P51" s="231"/>
    </row>
    <row r="52" spans="1:16" x14ac:dyDescent="0.25">
      <c r="A52" s="315"/>
      <c r="B52" s="322"/>
      <c r="P52" s="231"/>
    </row>
    <row r="53" spans="1:16" x14ac:dyDescent="0.25">
      <c r="A53" s="315"/>
      <c r="B53" s="322"/>
      <c r="P53" s="231"/>
    </row>
    <row r="54" spans="1:16" x14ac:dyDescent="0.25">
      <c r="A54" s="315"/>
      <c r="B54" s="322"/>
      <c r="C54" s="18" t="s">
        <v>302</v>
      </c>
      <c r="D54" s="800" t="s">
        <v>311</v>
      </c>
      <c r="E54" s="800"/>
      <c r="F54" s="800"/>
      <c r="G54" s="800"/>
      <c r="H54" s="800"/>
      <c r="I54" s="800"/>
      <c r="J54" s="800"/>
      <c r="K54" s="800"/>
      <c r="L54" s="800"/>
      <c r="P54" s="231"/>
    </row>
    <row r="55" spans="1:16" x14ac:dyDescent="0.25">
      <c r="A55" s="315"/>
      <c r="B55" s="322"/>
      <c r="D55" s="800"/>
      <c r="E55" s="800"/>
      <c r="F55" s="800"/>
      <c r="G55" s="800"/>
      <c r="H55" s="800"/>
      <c r="I55" s="800"/>
      <c r="J55" s="800"/>
      <c r="K55" s="800"/>
      <c r="L55" s="800"/>
      <c r="P55" s="231"/>
    </row>
    <row r="56" spans="1:16" x14ac:dyDescent="0.25">
      <c r="A56" s="315"/>
      <c r="B56" s="322"/>
      <c r="P56" s="231"/>
    </row>
    <row r="57" spans="1:16" x14ac:dyDescent="0.25">
      <c r="A57" s="315"/>
      <c r="B57" s="322"/>
      <c r="C57" s="79"/>
      <c r="D57" s="79"/>
      <c r="E57" s="79"/>
      <c r="F57" s="79"/>
      <c r="P57" s="231"/>
    </row>
    <row r="58" spans="1:16" x14ac:dyDescent="0.25">
      <c r="A58" s="315"/>
      <c r="B58" s="229"/>
      <c r="P58" s="231"/>
    </row>
    <row r="59" spans="1:16" x14ac:dyDescent="0.25">
      <c r="A59" s="315"/>
      <c r="B59" s="229"/>
      <c r="P59" s="231"/>
    </row>
    <row r="60" spans="1:16" x14ac:dyDescent="0.25">
      <c r="A60" s="315"/>
      <c r="B60" s="327"/>
      <c r="C60" s="207"/>
      <c r="D60" s="788" t="s">
        <v>312</v>
      </c>
      <c r="E60" s="788"/>
      <c r="F60" s="788"/>
      <c r="P60" s="231"/>
    </row>
    <row r="61" spans="1:16" x14ac:dyDescent="0.25">
      <c r="A61" s="315"/>
      <c r="B61" s="322"/>
      <c r="P61" s="231"/>
    </row>
    <row r="62" spans="1:16" ht="61.5" customHeight="1" x14ac:dyDescent="0.25">
      <c r="A62" s="315"/>
      <c r="B62" s="322"/>
      <c r="E62" s="789" t="s">
        <v>895</v>
      </c>
      <c r="F62" s="790"/>
      <c r="G62" s="790"/>
      <c r="H62" s="790"/>
      <c r="I62" s="790"/>
      <c r="J62" s="790"/>
      <c r="K62" s="790"/>
      <c r="L62" s="791"/>
      <c r="P62" s="231"/>
    </row>
    <row r="63" spans="1:16" ht="31.5" x14ac:dyDescent="0.25">
      <c r="A63" s="315"/>
      <c r="B63" s="322"/>
      <c r="G63" s="93" t="s">
        <v>313</v>
      </c>
      <c r="H63" s="93" t="s">
        <v>314</v>
      </c>
      <c r="I63" s="78" t="s">
        <v>138</v>
      </c>
      <c r="P63" s="231"/>
    </row>
    <row r="64" spans="1:16" x14ac:dyDescent="0.25">
      <c r="A64" s="315"/>
      <c r="B64" s="322"/>
      <c r="E64" s="79" t="s">
        <v>248</v>
      </c>
      <c r="F64" s="18" t="s">
        <v>315</v>
      </c>
      <c r="G64" s="330">
        <f>126319+21913</f>
        <v>148232</v>
      </c>
      <c r="H64" s="330">
        <f>62022+7090</f>
        <v>69112</v>
      </c>
      <c r="I64" s="332">
        <f>G64-H64</f>
        <v>79120</v>
      </c>
      <c r="P64" s="231"/>
    </row>
    <row r="65" spans="1:16" x14ac:dyDescent="0.25">
      <c r="A65" s="315"/>
      <c r="B65" s="322"/>
      <c r="E65" s="79"/>
      <c r="F65" s="18" t="s">
        <v>316</v>
      </c>
      <c r="G65" s="330">
        <v>-10957</v>
      </c>
      <c r="H65" s="330">
        <v>-5430</v>
      </c>
      <c r="I65" s="332">
        <f>G65-H65</f>
        <v>-5527</v>
      </c>
      <c r="P65" s="231"/>
    </row>
    <row r="66" spans="1:16" x14ac:dyDescent="0.25">
      <c r="A66" s="315"/>
      <c r="B66" s="322"/>
      <c r="E66" s="79"/>
      <c r="F66" s="283" t="s">
        <v>317</v>
      </c>
      <c r="G66" s="163">
        <f>G64+G65</f>
        <v>137275</v>
      </c>
      <c r="H66" s="163">
        <f t="shared" ref="H66" si="9">H64+H65</f>
        <v>63682</v>
      </c>
      <c r="I66" s="163">
        <f>G66-H66</f>
        <v>73593</v>
      </c>
      <c r="P66" s="231"/>
    </row>
    <row r="67" spans="1:16" x14ac:dyDescent="0.25">
      <c r="A67" s="315"/>
      <c r="B67" s="322"/>
      <c r="E67" s="288" t="s">
        <v>248</v>
      </c>
      <c r="F67" s="18" t="s">
        <v>318</v>
      </c>
      <c r="G67" s="330">
        <v>275717</v>
      </c>
      <c r="H67" s="330">
        <v>116600</v>
      </c>
      <c r="I67" s="332">
        <f t="shared" ref="I67:I69" si="10">G67-H67</f>
        <v>159117</v>
      </c>
      <c r="P67" s="231"/>
    </row>
    <row r="68" spans="1:16" x14ac:dyDescent="0.25">
      <c r="A68" s="315"/>
      <c r="B68" s="322"/>
      <c r="E68" s="288"/>
      <c r="F68" s="18" t="s">
        <v>319</v>
      </c>
      <c r="G68" s="330">
        <v>15018</v>
      </c>
      <c r="H68" s="330">
        <v>14372</v>
      </c>
      <c r="I68" s="332">
        <f t="shared" si="10"/>
        <v>646</v>
      </c>
      <c r="P68" s="231"/>
    </row>
    <row r="69" spans="1:16" x14ac:dyDescent="0.25">
      <c r="A69" s="315"/>
      <c r="B69" s="322"/>
      <c r="G69" s="163">
        <f>G67+G68</f>
        <v>290735</v>
      </c>
      <c r="H69" s="163">
        <f>H67+H68</f>
        <v>130972</v>
      </c>
      <c r="I69" s="331">
        <f t="shared" si="10"/>
        <v>159763</v>
      </c>
      <c r="P69" s="231"/>
    </row>
    <row r="70" spans="1:16" x14ac:dyDescent="0.25">
      <c r="A70" s="315"/>
      <c r="B70" s="322"/>
      <c r="P70" s="231"/>
    </row>
    <row r="71" spans="1:16" x14ac:dyDescent="0.25">
      <c r="A71" s="315"/>
      <c r="B71" s="322"/>
      <c r="D71" s="18" t="s">
        <v>248</v>
      </c>
      <c r="E71" s="285" t="s">
        <v>320</v>
      </c>
      <c r="F71" s="285"/>
      <c r="G71" s="243"/>
      <c r="H71" s="243"/>
      <c r="I71" s="243"/>
      <c r="P71" s="231"/>
    </row>
    <row r="72" spans="1:16" ht="47.25" x14ac:dyDescent="0.25">
      <c r="A72" s="315"/>
      <c r="B72" s="322"/>
      <c r="D72" s="288"/>
      <c r="E72" s="341" t="s">
        <v>321</v>
      </c>
      <c r="F72" s="341" t="s">
        <v>322</v>
      </c>
      <c r="G72" s="341" t="s">
        <v>323</v>
      </c>
      <c r="H72" s="341" t="s">
        <v>324</v>
      </c>
      <c r="I72" s="3" t="s">
        <v>325</v>
      </c>
      <c r="J72" s="341" t="s">
        <v>326</v>
      </c>
      <c r="P72" s="231"/>
    </row>
    <row r="73" spans="1:16" x14ac:dyDescent="0.25">
      <c r="A73" s="315"/>
      <c r="B73" s="322"/>
      <c r="E73" s="715" t="s">
        <v>845</v>
      </c>
      <c r="F73" s="716" t="s">
        <v>846</v>
      </c>
      <c r="G73" s="717">
        <v>35842</v>
      </c>
      <c r="H73" s="718">
        <v>0.7</v>
      </c>
      <c r="I73" s="717">
        <v>10753</v>
      </c>
      <c r="J73" s="718">
        <v>0.3</v>
      </c>
      <c r="P73" s="231"/>
    </row>
    <row r="74" spans="1:16" x14ac:dyDescent="0.25">
      <c r="A74" s="315"/>
      <c r="B74" s="322"/>
      <c r="E74" s="715" t="s">
        <v>847</v>
      </c>
      <c r="F74" s="716" t="s">
        <v>848</v>
      </c>
      <c r="G74" s="717">
        <v>14593</v>
      </c>
      <c r="H74" s="718">
        <v>0.6</v>
      </c>
      <c r="I74" s="717">
        <v>5838</v>
      </c>
      <c r="J74" s="718">
        <v>0.4</v>
      </c>
      <c r="P74" s="231"/>
    </row>
    <row r="75" spans="1:16" x14ac:dyDescent="0.25">
      <c r="A75" s="315"/>
      <c r="B75" s="322"/>
      <c r="E75" s="715" t="s">
        <v>849</v>
      </c>
      <c r="F75" s="716" t="s">
        <v>850</v>
      </c>
      <c r="G75" s="717">
        <v>47010</v>
      </c>
      <c r="H75" s="718">
        <v>0.6</v>
      </c>
      <c r="I75" s="717">
        <v>18804</v>
      </c>
      <c r="J75" s="718">
        <v>0.4</v>
      </c>
      <c r="P75" s="231"/>
    </row>
    <row r="76" spans="1:16" x14ac:dyDescent="0.25">
      <c r="A76" s="315"/>
      <c r="B76" s="322"/>
      <c r="E76" s="715" t="s">
        <v>851</v>
      </c>
      <c r="F76" s="716" t="s">
        <v>852</v>
      </c>
      <c r="G76" s="717">
        <v>29756</v>
      </c>
      <c r="H76" s="718">
        <v>0.6</v>
      </c>
      <c r="I76" s="717">
        <v>11902</v>
      </c>
      <c r="J76" s="718">
        <v>0.4</v>
      </c>
      <c r="P76" s="231"/>
    </row>
    <row r="77" spans="1:16" x14ac:dyDescent="0.25">
      <c r="A77" s="315"/>
      <c r="B77" s="322"/>
      <c r="E77" s="715" t="s">
        <v>853</v>
      </c>
      <c r="F77" s="716" t="s">
        <v>854</v>
      </c>
      <c r="G77" s="717">
        <v>17547</v>
      </c>
      <c r="H77" s="718">
        <v>0.6</v>
      </c>
      <c r="I77" s="717">
        <v>7019</v>
      </c>
      <c r="J77" s="718">
        <v>0.4</v>
      </c>
      <c r="P77" s="231"/>
    </row>
    <row r="78" spans="1:16" x14ac:dyDescent="0.25">
      <c r="A78" s="315"/>
      <c r="B78" s="322"/>
      <c r="E78" s="333"/>
      <c r="F78" s="334"/>
      <c r="G78" s="335"/>
      <c r="H78" s="336"/>
      <c r="I78" s="335"/>
      <c r="J78" s="336"/>
      <c r="P78" s="231"/>
    </row>
    <row r="79" spans="1:16" x14ac:dyDescent="0.25">
      <c r="A79" s="315"/>
      <c r="B79" s="322"/>
      <c r="E79" s="333" t="s">
        <v>888</v>
      </c>
      <c r="F79" s="334"/>
      <c r="G79" s="335"/>
      <c r="H79" s="336"/>
      <c r="I79" s="335"/>
      <c r="J79" s="336"/>
      <c r="P79" s="231"/>
    </row>
    <row r="80" spans="1:16" x14ac:dyDescent="0.25">
      <c r="A80" s="315"/>
      <c r="B80" s="322"/>
      <c r="E80" s="333" t="s">
        <v>889</v>
      </c>
      <c r="F80" s="334"/>
      <c r="G80" s="335"/>
      <c r="H80" s="336"/>
      <c r="I80" s="335"/>
      <c r="J80" s="336"/>
      <c r="P80" s="231"/>
    </row>
    <row r="81" spans="1:16" x14ac:dyDescent="0.25">
      <c r="A81" s="315"/>
      <c r="B81" s="322"/>
      <c r="E81" s="333" t="s">
        <v>891</v>
      </c>
      <c r="F81" s="334"/>
      <c r="G81" s="335"/>
      <c r="H81" s="336"/>
      <c r="I81" s="335"/>
      <c r="J81" s="336"/>
      <c r="P81" s="231"/>
    </row>
    <row r="82" spans="1:16" x14ac:dyDescent="0.25">
      <c r="A82" s="315"/>
      <c r="B82" s="322"/>
      <c r="E82" s="333" t="s">
        <v>890</v>
      </c>
      <c r="F82" s="334"/>
      <c r="G82" s="335"/>
      <c r="H82" s="336"/>
      <c r="I82" s="335"/>
      <c r="J82" s="336"/>
      <c r="P82" s="231"/>
    </row>
    <row r="83" spans="1:16" x14ac:dyDescent="0.25">
      <c r="A83" s="315"/>
      <c r="B83" s="322"/>
      <c r="E83" s="333"/>
      <c r="F83" s="334"/>
      <c r="G83" s="335"/>
      <c r="H83" s="336"/>
      <c r="I83" s="335"/>
      <c r="J83" s="336"/>
      <c r="P83" s="231"/>
    </row>
    <row r="84" spans="1:16" x14ac:dyDescent="0.25">
      <c r="A84" s="315"/>
      <c r="B84" s="322"/>
      <c r="E84" s="333"/>
      <c r="F84" s="334"/>
      <c r="G84" s="335"/>
      <c r="H84" s="336"/>
      <c r="I84" s="335"/>
      <c r="J84" s="336"/>
      <c r="P84" s="231"/>
    </row>
    <row r="85" spans="1:16" x14ac:dyDescent="0.25">
      <c r="A85" s="315"/>
      <c r="B85" s="322"/>
      <c r="E85" s="333"/>
      <c r="F85" s="334"/>
      <c r="G85" s="335"/>
      <c r="H85" s="336"/>
      <c r="I85" s="335"/>
      <c r="J85" s="336"/>
      <c r="P85" s="231"/>
    </row>
    <row r="86" spans="1:16" x14ac:dyDescent="0.25">
      <c r="A86" s="315"/>
      <c r="B86" s="322"/>
      <c r="E86" s="333"/>
      <c r="F86" s="334"/>
      <c r="G86" s="335"/>
      <c r="H86" s="336"/>
      <c r="I86" s="335"/>
      <c r="J86" s="336"/>
      <c r="P86" s="231"/>
    </row>
    <row r="87" spans="1:16" x14ac:dyDescent="0.25">
      <c r="A87" s="315"/>
      <c r="B87" s="322"/>
      <c r="E87" s="333"/>
      <c r="F87" s="334"/>
      <c r="G87" s="335"/>
      <c r="H87" s="336"/>
      <c r="I87" s="335"/>
      <c r="J87" s="336"/>
      <c r="P87" s="231"/>
    </row>
    <row r="88" spans="1:16" x14ac:dyDescent="0.25">
      <c r="A88" s="315"/>
      <c r="B88" s="229"/>
      <c r="P88" s="231"/>
    </row>
    <row r="89" spans="1:16" x14ac:dyDescent="0.25">
      <c r="A89" s="315"/>
      <c r="B89" s="229"/>
      <c r="P89" s="231"/>
    </row>
    <row r="90" spans="1:16" x14ac:dyDescent="0.25">
      <c r="A90" s="315"/>
      <c r="B90" s="229"/>
      <c r="P90" s="231"/>
    </row>
    <row r="91" spans="1:16" ht="18.600000000000001" customHeight="1" x14ac:dyDescent="0.3">
      <c r="A91" s="315"/>
      <c r="B91" s="309" t="s">
        <v>327</v>
      </c>
      <c r="C91" s="301" t="s">
        <v>207</v>
      </c>
      <c r="D91" s="295" t="s">
        <v>328</v>
      </c>
      <c r="E91" s="309"/>
      <c r="F91" s="301"/>
      <c r="G91" s="792" t="s">
        <v>813</v>
      </c>
      <c r="H91" s="792" t="s">
        <v>812</v>
      </c>
      <c r="I91" s="792" t="s">
        <v>293</v>
      </c>
      <c r="J91" s="792" t="s">
        <v>295</v>
      </c>
      <c r="K91" s="792" t="s">
        <v>296</v>
      </c>
      <c r="L91" s="792" t="s">
        <v>138</v>
      </c>
      <c r="P91" s="231"/>
    </row>
    <row r="92" spans="1:16" ht="15.6" customHeight="1" x14ac:dyDescent="0.25">
      <c r="A92" s="315"/>
      <c r="B92" s="322"/>
      <c r="G92" s="792"/>
      <c r="H92" s="792"/>
      <c r="I92" s="792"/>
      <c r="J92" s="792"/>
      <c r="K92" s="792"/>
      <c r="L92" s="792"/>
      <c r="P92" s="231"/>
    </row>
    <row r="93" spans="1:16" x14ac:dyDescent="0.25">
      <c r="A93" s="315"/>
      <c r="B93" s="322"/>
      <c r="G93" s="792"/>
      <c r="H93" s="792"/>
      <c r="I93" s="792"/>
      <c r="J93" s="792"/>
      <c r="K93" s="792"/>
      <c r="L93" s="792"/>
      <c r="P93" s="231"/>
    </row>
    <row r="94" spans="1:16" x14ac:dyDescent="0.25">
      <c r="A94" s="315"/>
      <c r="B94" s="322"/>
      <c r="P94" s="231"/>
    </row>
    <row r="95" spans="1:16" x14ac:dyDescent="0.25">
      <c r="A95" s="315"/>
      <c r="B95" s="322"/>
      <c r="D95" s="18" t="str">
        <f>+IF(LEN('פרטי התאגיד'!G11)="",'פרטי התאגיד'!G11,IF(LEN('פרטי התאגיד'!G11)&gt;4,'פרטי התאגיד'!G11,"עלות ליום "&amp;"1.1."&amp;'פרטי התאגיד'!G11))</f>
        <v>עלות ליום 1.1.2024</v>
      </c>
      <c r="G95" s="323">
        <v>202</v>
      </c>
      <c r="H95" s="323">
        <v>208</v>
      </c>
      <c r="I95" s="323">
        <v>0</v>
      </c>
      <c r="J95" s="323">
        <v>0</v>
      </c>
      <c r="K95" s="323">
        <v>273</v>
      </c>
      <c r="L95" s="162">
        <f>G95+H95+I95+K95+J95</f>
        <v>683</v>
      </c>
      <c r="P95" s="231"/>
    </row>
    <row r="96" spans="1:16" x14ac:dyDescent="0.25">
      <c r="A96" s="315"/>
      <c r="B96" s="322"/>
      <c r="D96" s="18" t="s">
        <v>329</v>
      </c>
      <c r="G96" s="323"/>
      <c r="H96" s="323"/>
      <c r="I96" s="323"/>
      <c r="J96" s="323"/>
      <c r="K96" s="323">
        <v>47</v>
      </c>
      <c r="L96" s="162">
        <f>G96+H96+I96+K96+J96</f>
        <v>47</v>
      </c>
      <c r="P96" s="231"/>
    </row>
    <row r="97" spans="1:16" x14ac:dyDescent="0.25">
      <c r="A97" s="315"/>
      <c r="B97" s="322"/>
      <c r="G97" s="163">
        <f t="shared" ref="G97:L97" si="11">SUM(G95:G96)</f>
        <v>202</v>
      </c>
      <c r="H97" s="163">
        <f t="shared" si="11"/>
        <v>208</v>
      </c>
      <c r="I97" s="163">
        <f t="shared" si="11"/>
        <v>0</v>
      </c>
      <c r="J97" s="163">
        <f t="shared" si="11"/>
        <v>0</v>
      </c>
      <c r="K97" s="163">
        <f t="shared" si="11"/>
        <v>320</v>
      </c>
      <c r="L97" s="164">
        <f t="shared" si="11"/>
        <v>730</v>
      </c>
      <c r="P97" s="231"/>
    </row>
    <row r="98" spans="1:16" ht="18" x14ac:dyDescent="0.4">
      <c r="A98" s="315"/>
      <c r="B98" s="326"/>
      <c r="C98" s="82"/>
      <c r="D98" s="289" t="s">
        <v>330</v>
      </c>
      <c r="E98" s="289"/>
      <c r="L98" s="94"/>
      <c r="P98" s="231"/>
    </row>
    <row r="99" spans="1:16" ht="18" x14ac:dyDescent="0.4">
      <c r="A99" s="315"/>
      <c r="B99" s="326"/>
      <c r="C99" s="82"/>
      <c r="D99" s="18" t="s">
        <v>331</v>
      </c>
      <c r="G99" s="323"/>
      <c r="H99" s="323"/>
      <c r="I99" s="323"/>
      <c r="J99" s="323"/>
      <c r="K99" s="323"/>
      <c r="L99" s="162">
        <f>K99+I99+H99+G99+J99</f>
        <v>0</v>
      </c>
      <c r="P99" s="231"/>
    </row>
    <row r="100" spans="1:16" ht="18" x14ac:dyDescent="0.4">
      <c r="A100" s="315"/>
      <c r="B100" s="326"/>
      <c r="C100" s="82"/>
      <c r="D100" s="18" t="s">
        <v>332</v>
      </c>
      <c r="G100" s="323"/>
      <c r="H100" s="323"/>
      <c r="I100" s="323"/>
      <c r="J100" s="323"/>
      <c r="K100" s="323"/>
      <c r="L100" s="162">
        <f>K100+I100+H100+G100+J100</f>
        <v>0</v>
      </c>
      <c r="P100" s="231"/>
    </row>
    <row r="101" spans="1:16" x14ac:dyDescent="0.25">
      <c r="A101" s="315"/>
      <c r="B101" s="322"/>
      <c r="D101" s="283" t="str">
        <f>"יתרה ליום "&amp;"31.12."&amp;RIGHT('פרטי התאגיד'!G11,4)</f>
        <v>יתרה ליום 31.12.2024</v>
      </c>
      <c r="G101" s="163">
        <f t="shared" ref="G101:L101" si="12">G97+G99+G100</f>
        <v>202</v>
      </c>
      <c r="H101" s="163">
        <f t="shared" si="12"/>
        <v>208</v>
      </c>
      <c r="I101" s="163">
        <f t="shared" si="12"/>
        <v>0</v>
      </c>
      <c r="J101" s="163">
        <f t="shared" si="12"/>
        <v>0</v>
      </c>
      <c r="K101" s="163">
        <f t="shared" si="12"/>
        <v>320</v>
      </c>
      <c r="L101" s="164">
        <f t="shared" si="12"/>
        <v>730</v>
      </c>
      <c r="P101" s="231"/>
    </row>
    <row r="102" spans="1:16" ht="16.5" thickBot="1" x14ac:dyDescent="0.3">
      <c r="B102" s="234"/>
      <c r="C102" s="235"/>
      <c r="D102" s="235"/>
      <c r="E102" s="235"/>
      <c r="F102" s="235"/>
      <c r="G102" s="266"/>
      <c r="H102" s="266"/>
      <c r="I102" s="266"/>
      <c r="J102" s="266"/>
      <c r="K102" s="266"/>
      <c r="L102" s="328"/>
      <c r="M102" s="266"/>
      <c r="N102" s="266"/>
      <c r="O102" s="328"/>
      <c r="P102" s="329"/>
    </row>
    <row r="103" spans="1:16" x14ac:dyDescent="0.25">
      <c r="L103" s="94"/>
    </row>
  </sheetData>
  <sheetProtection algorithmName="SHA-512" hashValue="LmgNXiZMzp0Merv1oLjHKUA08kBDAqUSFVgHHR3LfbQQRoNC4XkyzPGsNj/6N8CVViG3XUQlQ850cX3Q9rOZag==" saltValue="prPPdw85z2WxGNI5zSHMiA==" spinCount="100000" sheet="1" objects="1" scenarios="1"/>
  <mergeCells count="23">
    <mergeCell ref="D54:L55"/>
    <mergeCell ref="I9:I11"/>
    <mergeCell ref="J9:J11"/>
    <mergeCell ref="K9:K11"/>
    <mergeCell ref="L9:L11"/>
    <mergeCell ref="H9:H11"/>
    <mergeCell ref="G9:G11"/>
    <mergeCell ref="D41:F41"/>
    <mergeCell ref="D42:F42"/>
    <mergeCell ref="O9:O11"/>
    <mergeCell ref="D12:F12"/>
    <mergeCell ref="D28:F28"/>
    <mergeCell ref="D50:F51"/>
    <mergeCell ref="M9:M11"/>
    <mergeCell ref="N9:N11"/>
    <mergeCell ref="D60:F60"/>
    <mergeCell ref="E62:L62"/>
    <mergeCell ref="I91:I93"/>
    <mergeCell ref="J91:J93"/>
    <mergeCell ref="K91:K93"/>
    <mergeCell ref="L91:L93"/>
    <mergeCell ref="H91:H93"/>
    <mergeCell ref="G91:G93"/>
  </mergeCells>
  <hyperlinks>
    <hyperlink ref="A6" location="'תוכן עניינים'!A1" display="תוכן עניינים" xr:uid="{00000000-0004-0000-0B00-000000000000}"/>
    <hyperlink ref="A7" location="'ביאור 10 פירוט'!B10" display="ביאור 10 פירוט" xr:uid="{00000000-0004-0000-0B00-000001000000}"/>
    <hyperlink ref="A8" location="'ביאור 11 פירוט'!A1" display="ביאור 11 פירוט" xr:uid="{00000000-0004-0000-0B00-000002000000}"/>
  </hyperlinks>
  <pageMargins left="0.70866141732283472" right="0.70866141732283472" top="0.74803149606299213" bottom="0.74803149606299213" header="0.31496062992125984" footer="0.31496062992125984"/>
  <pageSetup paperSize="9" scale="27" orientation="landscape" r:id="rId1"/>
  <headerFooter>
    <oddFooter>&amp;C-'20א-</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גיליון13"/>
  <dimension ref="A1:AF87"/>
  <sheetViews>
    <sheetView showGridLines="0" rightToLeft="1" zoomScale="85" zoomScaleNormal="85" workbookViewId="0">
      <selection activeCell="V36" sqref="V36"/>
    </sheetView>
  </sheetViews>
  <sheetFormatPr defaultColWidth="8" defaultRowHeight="15.75" x14ac:dyDescent="0.25"/>
  <cols>
    <col min="1" max="1" width="8" style="18"/>
    <col min="2" max="2" width="12.125" style="18" customWidth="1"/>
    <col min="3" max="3" width="13.625" style="18" customWidth="1"/>
    <col min="4" max="4" width="5.25" style="18" customWidth="1"/>
    <col min="5" max="5" width="13.125" style="18" customWidth="1"/>
    <col min="6" max="6" width="17" style="18" bestFit="1" customWidth="1"/>
    <col min="7" max="7" width="1.25" style="18" customWidth="1"/>
    <col min="8" max="8" width="13.125" style="18" customWidth="1"/>
    <col min="9" max="9" width="1.75" style="18" customWidth="1"/>
    <col min="10" max="10" width="10.25" style="18" customWidth="1"/>
    <col min="11" max="11" width="1.75" style="18" customWidth="1"/>
    <col min="12" max="12" width="10.25" style="18" customWidth="1"/>
    <col min="13" max="13" width="1.625" style="18" customWidth="1"/>
    <col min="14" max="14" width="13.75" style="18" customWidth="1"/>
    <col min="15" max="15" width="1.75" style="18" customWidth="1"/>
    <col min="16" max="16" width="15.75" style="283" customWidth="1"/>
    <col min="17" max="17" width="1.625" style="18" customWidth="1"/>
    <col min="18" max="18" width="15.125" style="18" customWidth="1"/>
    <col min="19" max="19" width="1.25" style="18" customWidth="1"/>
    <col min="20" max="20" width="13.125" style="18" customWidth="1"/>
    <col min="21" max="21" width="1.25" style="18" customWidth="1"/>
    <col min="22" max="22" width="9.75" style="18" bestFit="1" customWidth="1"/>
    <col min="23" max="23" width="1.25" style="18" customWidth="1"/>
    <col min="24" max="24" width="10" style="18" customWidth="1"/>
    <col min="25" max="25" width="1.5" style="18" customWidth="1"/>
    <col min="26" max="26" width="15.125" style="283" customWidth="1"/>
    <col min="27" max="27" width="5.75" style="18" customWidth="1"/>
    <col min="28" max="28" width="12.75" style="18" bestFit="1" customWidth="1"/>
    <col min="29" max="29" width="4.75" style="18" customWidth="1"/>
    <col min="30" max="30" width="12.75" style="18" customWidth="1"/>
    <col min="31" max="31" width="1.75" style="18" customWidth="1"/>
    <col min="32" max="32" width="11.75" style="18" customWidth="1"/>
    <col min="33" max="16384" width="8" style="18"/>
  </cols>
  <sheetData>
    <row r="1" spans="1:32" ht="31.5" x14ac:dyDescent="0.5">
      <c r="A1" s="11" t="s">
        <v>776</v>
      </c>
      <c r="B1" s="5"/>
      <c r="C1" s="12">
        <f>הנחיות!C1</f>
        <v>2024</v>
      </c>
      <c r="D1" s="5"/>
      <c r="E1" s="5"/>
      <c r="F1" s="5"/>
      <c r="G1" s="5"/>
      <c r="H1" s="298"/>
      <c r="I1" s="73"/>
      <c r="J1" s="73"/>
      <c r="K1" s="6"/>
      <c r="L1" s="6"/>
      <c r="M1" s="362"/>
      <c r="N1" s="362"/>
      <c r="O1" s="362"/>
      <c r="P1" s="402"/>
      <c r="Q1" s="362"/>
      <c r="R1" s="362"/>
      <c r="S1" s="362"/>
      <c r="T1" s="362"/>
      <c r="U1" s="362"/>
      <c r="V1" s="362"/>
      <c r="W1" s="362"/>
      <c r="X1" s="362"/>
      <c r="Y1" s="362"/>
      <c r="Z1" s="402"/>
      <c r="AA1" s="362"/>
      <c r="AB1" s="362"/>
      <c r="AC1" s="362"/>
      <c r="AD1" s="362"/>
      <c r="AE1" s="362"/>
    </row>
    <row r="2" spans="1:32" ht="31.5" x14ac:dyDescent="0.5">
      <c r="A2" s="13" t="s">
        <v>772</v>
      </c>
      <c r="B2" s="6"/>
      <c r="C2" s="15" t="s">
        <v>814</v>
      </c>
      <c r="D2" s="6"/>
      <c r="E2" s="6"/>
      <c r="F2" s="6"/>
      <c r="G2" s="6"/>
      <c r="H2" s="299"/>
      <c r="I2" s="73"/>
      <c r="J2" s="73"/>
      <c r="K2" s="6"/>
      <c r="L2" s="6"/>
      <c r="M2" s="362"/>
      <c r="N2" s="362"/>
      <c r="O2" s="362"/>
      <c r="P2" s="398"/>
      <c r="Q2" s="362"/>
      <c r="R2" s="362"/>
      <c r="S2" s="362"/>
      <c r="T2" s="362"/>
      <c r="U2" s="362"/>
      <c r="V2" s="362"/>
      <c r="W2" s="362"/>
      <c r="X2" s="362"/>
      <c r="Y2" s="362"/>
      <c r="Z2" s="402"/>
      <c r="AA2" s="362"/>
      <c r="AB2" s="362"/>
      <c r="AC2" s="362"/>
      <c r="AD2" s="362"/>
      <c r="AE2" s="362"/>
    </row>
    <row r="3" spans="1:32" ht="15.6" customHeight="1" x14ac:dyDescent="0.5">
      <c r="A3" s="7"/>
      <c r="B3" s="6"/>
      <c r="C3" s="6"/>
      <c r="D3" s="6"/>
      <c r="E3" s="6"/>
      <c r="F3" s="6"/>
      <c r="G3" s="6"/>
      <c r="H3" s="299"/>
      <c r="I3" s="73"/>
      <c r="J3" s="73"/>
      <c r="K3" s="6"/>
      <c r="L3" s="6"/>
      <c r="M3" s="362"/>
      <c r="N3" s="362"/>
      <c r="O3" s="362"/>
      <c r="P3" s="398"/>
      <c r="Q3" s="362"/>
      <c r="R3" s="362"/>
      <c r="S3" s="362"/>
      <c r="T3" s="362"/>
      <c r="U3" s="362"/>
      <c r="V3" s="362"/>
      <c r="W3" s="362"/>
      <c r="X3" s="362"/>
      <c r="Y3" s="362"/>
      <c r="Z3" s="402"/>
      <c r="AA3" s="362"/>
      <c r="AB3" s="362"/>
      <c r="AC3" s="362"/>
      <c r="AD3" s="362"/>
      <c r="AE3" s="362"/>
    </row>
    <row r="4" spans="1:32" ht="31.5" x14ac:dyDescent="0.5">
      <c r="A4" s="169" t="s">
        <v>773</v>
      </c>
      <c r="B4" s="170"/>
      <c r="C4" s="171" t="str">
        <f>IF('פרטי התאגיד'!$G$9=0, "", 'פרטי התאגיד'!$G$9)</f>
        <v>פלגי מוצקין בע"מ</v>
      </c>
      <c r="D4" s="172"/>
      <c r="E4" s="172"/>
      <c r="F4" s="172"/>
      <c r="G4" s="172"/>
      <c r="H4" s="300"/>
      <c r="I4" s="174"/>
      <c r="J4" s="174"/>
      <c r="K4" s="172"/>
      <c r="L4" s="172"/>
      <c r="M4" s="399"/>
      <c r="N4" s="399"/>
      <c r="O4" s="399"/>
      <c r="P4" s="400"/>
      <c r="Q4" s="399"/>
      <c r="R4" s="399"/>
      <c r="S4" s="399"/>
      <c r="T4" s="399"/>
      <c r="U4" s="399"/>
      <c r="V4" s="399"/>
      <c r="W4" s="399"/>
      <c r="X4" s="399"/>
      <c r="Y4" s="399"/>
      <c r="Z4" s="403"/>
      <c r="AA4" s="399"/>
      <c r="AB4" s="399"/>
      <c r="AC4" s="399"/>
      <c r="AD4" s="399"/>
      <c r="AE4" s="363"/>
    </row>
    <row r="5" spans="1:32" x14ac:dyDescent="0.25">
      <c r="A5" s="4"/>
      <c r="B5" s="4"/>
      <c r="C5" s="4"/>
      <c r="D5" s="4"/>
      <c r="E5" s="4"/>
      <c r="F5" s="4"/>
      <c r="G5" s="4"/>
      <c r="H5" s="4"/>
      <c r="I5" s="4"/>
      <c r="J5" s="4"/>
      <c r="K5" s="4"/>
      <c r="L5" s="4"/>
      <c r="M5" s="4"/>
      <c r="N5" s="4"/>
      <c r="O5" s="4"/>
      <c r="P5" s="31"/>
      <c r="Q5" s="4"/>
      <c r="R5" s="4"/>
      <c r="S5" s="4"/>
      <c r="T5" s="4"/>
      <c r="U5" s="4"/>
      <c r="V5" s="4"/>
      <c r="W5" s="4"/>
      <c r="X5" s="4"/>
      <c r="Y5" s="4"/>
      <c r="Z5" s="31"/>
      <c r="AA5" s="4"/>
      <c r="AB5" s="4"/>
      <c r="AC5" s="4"/>
      <c r="AD5" s="4"/>
      <c r="AE5" s="4"/>
    </row>
    <row r="6" spans="1:32" ht="18.75" x14ac:dyDescent="0.3">
      <c r="A6" s="30" t="s">
        <v>1</v>
      </c>
    </row>
    <row r="7" spans="1:32" ht="18.75" x14ac:dyDescent="0.3">
      <c r="A7" s="30" t="s">
        <v>333</v>
      </c>
      <c r="B7" s="244"/>
      <c r="E7" s="3"/>
      <c r="F7" s="3"/>
      <c r="G7" s="3"/>
      <c r="H7" s="3"/>
      <c r="I7" s="3"/>
      <c r="J7" s="3"/>
      <c r="K7" s="3"/>
      <c r="L7" s="3"/>
      <c r="M7" s="3"/>
      <c r="N7" s="3"/>
      <c r="O7" s="3"/>
      <c r="P7" s="3"/>
      <c r="Q7" s="3"/>
      <c r="R7" s="3"/>
      <c r="S7" s="3"/>
    </row>
    <row r="8" spans="1:32" ht="16.5" thickBot="1" x14ac:dyDescent="0.3">
      <c r="B8" s="244"/>
      <c r="E8" s="3"/>
      <c r="F8" s="3"/>
      <c r="G8" s="3"/>
      <c r="H8" s="3"/>
      <c r="I8" s="3"/>
      <c r="J8" s="3"/>
      <c r="K8" s="3"/>
      <c r="L8" s="3"/>
      <c r="M8" s="3"/>
      <c r="N8" s="3"/>
      <c r="O8" s="3"/>
      <c r="P8" s="3"/>
      <c r="Q8" s="3"/>
      <c r="R8" s="3"/>
      <c r="S8" s="3"/>
    </row>
    <row r="9" spans="1:32" x14ac:dyDescent="0.25">
      <c r="B9" s="416"/>
      <c r="C9" s="307"/>
      <c r="D9" s="307"/>
      <c r="E9" s="307"/>
      <c r="F9" s="307"/>
      <c r="G9" s="307"/>
      <c r="H9" s="307"/>
      <c r="I9" s="307"/>
      <c r="J9" s="307"/>
      <c r="K9" s="307"/>
      <c r="L9" s="307"/>
      <c r="M9" s="307"/>
      <c r="N9" s="307"/>
      <c r="O9" s="307"/>
      <c r="P9" s="417"/>
      <c r="Q9" s="307"/>
      <c r="R9" s="307"/>
      <c r="S9" s="307"/>
      <c r="T9" s="307"/>
      <c r="U9" s="307"/>
      <c r="V9" s="307"/>
      <c r="W9" s="307"/>
      <c r="X9" s="307"/>
      <c r="Y9" s="307"/>
      <c r="Z9" s="417"/>
      <c r="AA9" s="418"/>
      <c r="AB9" s="307"/>
      <c r="AC9" s="307"/>
      <c r="AD9" s="307"/>
      <c r="AE9" s="308"/>
    </row>
    <row r="10" spans="1:32" ht="18.75" x14ac:dyDescent="0.3">
      <c r="B10" s="309" t="s">
        <v>334</v>
      </c>
      <c r="C10" s="301"/>
      <c r="D10" s="364"/>
      <c r="F10" s="801" t="s">
        <v>290</v>
      </c>
      <c r="G10" s="801"/>
      <c r="H10" s="801"/>
      <c r="I10" s="801"/>
      <c r="J10" s="801"/>
      <c r="K10" s="801"/>
      <c r="L10" s="801"/>
      <c r="M10" s="801"/>
      <c r="N10" s="801"/>
      <c r="O10" s="801"/>
      <c r="P10" s="801"/>
      <c r="R10" s="801" t="s">
        <v>335</v>
      </c>
      <c r="S10" s="801"/>
      <c r="T10" s="801"/>
      <c r="U10" s="801"/>
      <c r="V10" s="801"/>
      <c r="W10" s="801"/>
      <c r="X10" s="801"/>
      <c r="Y10" s="801"/>
      <c r="Z10" s="801"/>
      <c r="AA10" s="285"/>
      <c r="AB10" s="801" t="s">
        <v>336</v>
      </c>
      <c r="AC10" s="802"/>
      <c r="AD10" s="802"/>
      <c r="AE10" s="231"/>
    </row>
    <row r="11" spans="1:32" ht="31.5" x14ac:dyDescent="0.25">
      <c r="B11" s="317"/>
      <c r="C11" s="283"/>
      <c r="E11" s="283"/>
      <c r="F11" s="341" t="str">
        <f>IF('פרטי התאגיד'!G13="","","עלות ליום "&amp;"31.12."&amp;RIGHT('פרטי התאגיד'!G13,4))</f>
        <v>עלות ליום 31.12.2023</v>
      </c>
      <c r="G11" s="341"/>
      <c r="H11" s="341" t="s">
        <v>337</v>
      </c>
      <c r="I11" s="341"/>
      <c r="J11" s="341" t="s">
        <v>329</v>
      </c>
      <c r="K11" s="341"/>
      <c r="L11" s="341" t="s">
        <v>338</v>
      </c>
      <c r="M11" s="341"/>
      <c r="N11" s="341" t="s">
        <v>339</v>
      </c>
      <c r="O11" s="341"/>
      <c r="P11" s="341" t="str">
        <f>"יתרה ליום "&amp;"31.12."&amp;RIGHT('פרטי התאגיד'!G11,4)</f>
        <v>יתרה ליום 31.12.2024</v>
      </c>
      <c r="Q11" s="345"/>
      <c r="R11" s="341" t="str">
        <f>IF('פרטי התאגיד'!G13="","","פחת נצבר ליום "&amp;"31.12."&amp;RIGHT('פרטי התאגיד'!G13,4))</f>
        <v>פחת נצבר ליום 31.12.2023</v>
      </c>
      <c r="S11" s="341"/>
      <c r="T11" s="341" t="s">
        <v>337</v>
      </c>
      <c r="U11" s="341"/>
      <c r="V11" s="341" t="s">
        <v>329</v>
      </c>
      <c r="W11" s="341"/>
      <c r="X11" s="341" t="s">
        <v>338</v>
      </c>
      <c r="Y11" s="341"/>
      <c r="Z11" s="341" t="str">
        <f>"יתרה ליום "&amp;"31.12."&amp;RIGHT('פרטי התאגיד'!G11,4)</f>
        <v>יתרה ליום 31.12.2024</v>
      </c>
      <c r="AA11" s="401"/>
      <c r="AB11" s="341" t="str">
        <f>"ל- "&amp;"31.12."&amp;RIGHT('פרטי התאגיד'!G11,4)</f>
        <v>ל- 31.12.2024</v>
      </c>
      <c r="AC11" s="401"/>
      <c r="AD11" s="341" t="str">
        <f>IF('פרטי התאגיד'!G13="","","ל- "&amp;"31.12."&amp;RIGHT('פרטי התאגיד'!G13,4))</f>
        <v>ל- 31.12.2023</v>
      </c>
      <c r="AE11" s="231"/>
    </row>
    <row r="12" spans="1:32" x14ac:dyDescent="0.25">
      <c r="B12" s="229"/>
      <c r="D12" s="1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419"/>
      <c r="AF12" s="162"/>
    </row>
    <row r="13" spans="1:32" x14ac:dyDescent="0.25">
      <c r="B13" s="420" t="s">
        <v>340</v>
      </c>
      <c r="C13" s="404"/>
      <c r="D13" s="405"/>
      <c r="E13" s="406"/>
      <c r="F13" s="407"/>
      <c r="G13" s="407"/>
      <c r="H13" s="407"/>
      <c r="I13" s="407"/>
      <c r="J13" s="407"/>
      <c r="K13" s="407"/>
      <c r="L13" s="407"/>
      <c r="M13" s="407"/>
      <c r="N13" s="407"/>
      <c r="O13" s="407"/>
      <c r="P13" s="406"/>
      <c r="Q13" s="407"/>
      <c r="R13" s="407"/>
      <c r="S13" s="407"/>
      <c r="T13" s="407"/>
      <c r="U13" s="407"/>
      <c r="V13" s="407"/>
      <c r="W13" s="407"/>
      <c r="X13" s="407"/>
      <c r="Y13" s="407"/>
      <c r="Z13" s="406"/>
      <c r="AA13" s="407"/>
      <c r="AB13" s="406"/>
      <c r="AC13" s="407"/>
      <c r="AD13" s="408"/>
      <c r="AE13" s="419"/>
      <c r="AF13" s="162"/>
    </row>
    <row r="14" spans="1:32" x14ac:dyDescent="0.25">
      <c r="B14" s="317"/>
      <c r="D14" s="166" t="s">
        <v>341</v>
      </c>
      <c r="E14" s="162"/>
      <c r="F14" s="323">
        <v>1543</v>
      </c>
      <c r="G14" s="117"/>
      <c r="H14" s="323"/>
      <c r="I14" s="117"/>
      <c r="J14" s="323">
        <v>0</v>
      </c>
      <c r="K14" s="117"/>
      <c r="L14" s="323"/>
      <c r="M14" s="117"/>
      <c r="N14" s="323"/>
      <c r="O14" s="117"/>
      <c r="P14" s="162">
        <f>F14+J14-L14-N14+H14</f>
        <v>1543</v>
      </c>
      <c r="Q14" s="117"/>
      <c r="R14" s="323">
        <v>1215</v>
      </c>
      <c r="S14" s="117"/>
      <c r="T14" s="323"/>
      <c r="U14" s="117"/>
      <c r="V14" s="323">
        <v>49</v>
      </c>
      <c r="W14" s="117"/>
      <c r="X14" s="323"/>
      <c r="Y14" s="117"/>
      <c r="Z14" s="162">
        <f>R14+V14-X14+T14</f>
        <v>1264</v>
      </c>
      <c r="AA14" s="117"/>
      <c r="AB14" s="162">
        <f>P14-Z14</f>
        <v>279</v>
      </c>
      <c r="AC14" s="117"/>
      <c r="AD14" s="409">
        <f>F14-R14</f>
        <v>328</v>
      </c>
      <c r="AE14" s="419"/>
      <c r="AF14" s="162"/>
    </row>
    <row r="15" spans="1:32" x14ac:dyDescent="0.25">
      <c r="B15" s="317"/>
      <c r="D15" s="166" t="s">
        <v>342</v>
      </c>
      <c r="E15" s="162"/>
      <c r="F15" s="323"/>
      <c r="G15" s="117"/>
      <c r="H15" s="323"/>
      <c r="I15" s="117"/>
      <c r="J15" s="323"/>
      <c r="K15" s="117"/>
      <c r="L15" s="323"/>
      <c r="M15" s="117"/>
      <c r="N15" s="323"/>
      <c r="O15" s="117"/>
      <c r="P15" s="162">
        <f t="shared" ref="P15:P18" si="0">F15+J15-L15-N15+H15</f>
        <v>0</v>
      </c>
      <c r="Q15" s="117"/>
      <c r="R15" s="323"/>
      <c r="S15" s="117"/>
      <c r="T15" s="323"/>
      <c r="U15" s="117"/>
      <c r="V15" s="323"/>
      <c r="W15" s="117"/>
      <c r="X15" s="323"/>
      <c r="Y15" s="117"/>
      <c r="Z15" s="162">
        <f>R15+V15-X15+T15</f>
        <v>0</v>
      </c>
      <c r="AA15" s="117"/>
      <c r="AB15" s="162">
        <f>P15-Z15</f>
        <v>0</v>
      </c>
      <c r="AC15" s="117"/>
      <c r="AD15" s="409">
        <f>F15-R15</f>
        <v>0</v>
      </c>
      <c r="AE15" s="419"/>
      <c r="AF15" s="162"/>
    </row>
    <row r="16" spans="1:32" x14ac:dyDescent="0.25">
      <c r="B16" s="317"/>
      <c r="D16" s="166" t="s">
        <v>343</v>
      </c>
      <c r="E16" s="162"/>
      <c r="F16" s="323"/>
      <c r="G16" s="117"/>
      <c r="H16" s="323"/>
      <c r="I16" s="117"/>
      <c r="J16" s="323"/>
      <c r="K16" s="117"/>
      <c r="L16" s="323"/>
      <c r="M16" s="117"/>
      <c r="N16" s="323"/>
      <c r="O16" s="117"/>
      <c r="P16" s="162">
        <f t="shared" si="0"/>
        <v>0</v>
      </c>
      <c r="Q16" s="117"/>
      <c r="R16" s="323"/>
      <c r="S16" s="117"/>
      <c r="T16" s="323"/>
      <c r="U16" s="117"/>
      <c r="V16" s="323"/>
      <c r="W16" s="117"/>
      <c r="X16" s="323"/>
      <c r="Y16" s="117"/>
      <c r="Z16" s="162">
        <f>R16+V16-X16+T16</f>
        <v>0</v>
      </c>
      <c r="AA16" s="117"/>
      <c r="AB16" s="162">
        <f>P16-Z16</f>
        <v>0</v>
      </c>
      <c r="AC16" s="117"/>
      <c r="AD16" s="409">
        <f>F16-R16</f>
        <v>0</v>
      </c>
      <c r="AE16" s="419"/>
      <c r="AF16" s="162"/>
    </row>
    <row r="17" spans="2:32" x14ac:dyDescent="0.25">
      <c r="B17" s="317"/>
      <c r="D17" s="166" t="s">
        <v>344</v>
      </c>
      <c r="E17" s="162"/>
      <c r="F17" s="323"/>
      <c r="G17" s="117"/>
      <c r="H17" s="323"/>
      <c r="I17" s="117"/>
      <c r="J17" s="323"/>
      <c r="K17" s="117"/>
      <c r="L17" s="323"/>
      <c r="M17" s="117"/>
      <c r="N17" s="323"/>
      <c r="O17" s="117"/>
      <c r="P17" s="162">
        <f t="shared" si="0"/>
        <v>0</v>
      </c>
      <c r="Q17" s="117"/>
      <c r="R17" s="323"/>
      <c r="S17" s="117"/>
      <c r="T17" s="323"/>
      <c r="U17" s="117"/>
      <c r="V17" s="323"/>
      <c r="W17" s="117"/>
      <c r="X17" s="323"/>
      <c r="Y17" s="117"/>
      <c r="Z17" s="162">
        <f>R17+V17-X17+T17</f>
        <v>0</v>
      </c>
      <c r="AA17" s="117"/>
      <c r="AB17" s="162">
        <f>P17-Z17</f>
        <v>0</v>
      </c>
      <c r="AC17" s="117"/>
      <c r="AD17" s="409">
        <f>F17-R17</f>
        <v>0</v>
      </c>
      <c r="AE17" s="419"/>
      <c r="AF17" s="162"/>
    </row>
    <row r="18" spans="2:32" x14ac:dyDescent="0.25">
      <c r="B18" s="317"/>
      <c r="D18" s="167" t="s">
        <v>345</v>
      </c>
      <c r="E18" s="162"/>
      <c r="F18" s="323"/>
      <c r="G18" s="117"/>
      <c r="H18" s="323"/>
      <c r="I18" s="117"/>
      <c r="J18" s="323"/>
      <c r="K18" s="117"/>
      <c r="L18" s="323"/>
      <c r="M18" s="117"/>
      <c r="N18" s="323"/>
      <c r="O18" s="117"/>
      <c r="P18" s="162">
        <f t="shared" si="0"/>
        <v>0</v>
      </c>
      <c r="Q18" s="117"/>
      <c r="R18" s="323"/>
      <c r="S18" s="117"/>
      <c r="T18" s="323"/>
      <c r="U18" s="117"/>
      <c r="V18" s="323"/>
      <c r="W18" s="117"/>
      <c r="X18" s="323"/>
      <c r="Y18" s="117"/>
      <c r="Z18" s="162">
        <f>R18+V18-X18+T18</f>
        <v>0</v>
      </c>
      <c r="AA18" s="117"/>
      <c r="AB18" s="162">
        <f>P18-Z18</f>
        <v>0</v>
      </c>
      <c r="AC18" s="117"/>
      <c r="AD18" s="409">
        <f>F18-R18</f>
        <v>0</v>
      </c>
      <c r="AE18" s="419"/>
      <c r="AF18" s="162"/>
    </row>
    <row r="19" spans="2:32" x14ac:dyDescent="0.25">
      <c r="B19" s="317"/>
      <c r="D19" s="166"/>
      <c r="E19" s="162"/>
      <c r="F19" s="305">
        <f>SUM(F14:F18)</f>
        <v>1543</v>
      </c>
      <c r="G19" s="117"/>
      <c r="H19" s="305">
        <f>SUM(H14:H18)</f>
        <v>0</v>
      </c>
      <c r="I19" s="117"/>
      <c r="J19" s="305">
        <f>SUM(J14:J18)</f>
        <v>0</v>
      </c>
      <c r="K19" s="117"/>
      <c r="L19" s="305">
        <f>SUM(L14:L18)</f>
        <v>0</v>
      </c>
      <c r="M19" s="117"/>
      <c r="N19" s="305">
        <f>SUM(N14:N18)</f>
        <v>0</v>
      </c>
      <c r="O19" s="117"/>
      <c r="P19" s="305">
        <f>SUM(P14:P18)</f>
        <v>1543</v>
      </c>
      <c r="Q19" s="117"/>
      <c r="R19" s="305">
        <f>SUM(R14:R18)</f>
        <v>1215</v>
      </c>
      <c r="S19" s="117"/>
      <c r="T19" s="305">
        <f>SUM(T14:T18)</f>
        <v>0</v>
      </c>
      <c r="U19" s="117"/>
      <c r="V19" s="305">
        <f>SUM(V14:V18)</f>
        <v>49</v>
      </c>
      <c r="W19" s="117"/>
      <c r="X19" s="305">
        <f>SUM(X14:X18)</f>
        <v>0</v>
      </c>
      <c r="Y19" s="117"/>
      <c r="Z19" s="305">
        <f>SUM(Z14:Z18)</f>
        <v>1264</v>
      </c>
      <c r="AA19" s="117"/>
      <c r="AB19" s="305">
        <f>SUM(AB14:AB18)</f>
        <v>279</v>
      </c>
      <c r="AC19" s="117"/>
      <c r="AD19" s="410">
        <f>SUM(AD14:AD18)</f>
        <v>328</v>
      </c>
      <c r="AE19" s="419"/>
      <c r="AF19" s="162"/>
    </row>
    <row r="20" spans="2:32" x14ac:dyDescent="0.25">
      <c r="B20" s="317"/>
      <c r="D20" s="166"/>
      <c r="E20" s="162"/>
      <c r="F20" s="117"/>
      <c r="G20" s="117"/>
      <c r="H20" s="117"/>
      <c r="I20" s="117"/>
      <c r="J20" s="117"/>
      <c r="K20" s="117"/>
      <c r="L20" s="117"/>
      <c r="M20" s="117"/>
      <c r="N20" s="117"/>
      <c r="O20" s="117"/>
      <c r="P20" s="162"/>
      <c r="Q20" s="117"/>
      <c r="R20" s="117"/>
      <c r="S20" s="117"/>
      <c r="T20" s="117"/>
      <c r="U20" s="117"/>
      <c r="V20" s="117"/>
      <c r="W20" s="117"/>
      <c r="X20" s="117"/>
      <c r="Y20" s="117"/>
      <c r="Z20" s="162"/>
      <c r="AA20" s="117"/>
      <c r="AB20" s="162"/>
      <c r="AC20" s="117"/>
      <c r="AD20" s="409"/>
      <c r="AE20" s="419"/>
      <c r="AF20" s="162"/>
    </row>
    <row r="21" spans="2:32" x14ac:dyDescent="0.25">
      <c r="B21" s="421" t="s">
        <v>346</v>
      </c>
      <c r="D21" s="166"/>
      <c r="E21" s="162"/>
      <c r="F21" s="117"/>
      <c r="G21" s="117"/>
      <c r="H21" s="117"/>
      <c r="I21" s="117"/>
      <c r="J21" s="117"/>
      <c r="K21" s="117"/>
      <c r="L21" s="117"/>
      <c r="M21" s="117"/>
      <c r="N21" s="117"/>
      <c r="O21" s="117"/>
      <c r="P21" s="162"/>
      <c r="Q21" s="117"/>
      <c r="R21" s="117"/>
      <c r="S21" s="117"/>
      <c r="T21" s="117"/>
      <c r="U21" s="117"/>
      <c r="V21" s="117"/>
      <c r="W21" s="117"/>
      <c r="X21" s="117"/>
      <c r="Y21" s="117"/>
      <c r="Z21" s="162"/>
      <c r="AA21" s="117"/>
      <c r="AB21" s="162"/>
      <c r="AC21" s="117"/>
      <c r="AD21" s="409"/>
      <c r="AE21" s="419"/>
      <c r="AF21" s="162"/>
    </row>
    <row r="22" spans="2:32" x14ac:dyDescent="0.25">
      <c r="B22" s="317"/>
      <c r="D22" s="166" t="s">
        <v>343</v>
      </c>
      <c r="E22" s="162"/>
      <c r="F22" s="323">
        <v>140</v>
      </c>
      <c r="G22" s="117"/>
      <c r="H22" s="323"/>
      <c r="I22" s="117"/>
      <c r="J22" s="323">
        <v>0</v>
      </c>
      <c r="K22" s="117"/>
      <c r="L22" s="323"/>
      <c r="M22" s="117"/>
      <c r="N22" s="323"/>
      <c r="O22" s="117"/>
      <c r="P22" s="162">
        <f>F22+J22-L22-N22+H22</f>
        <v>140</v>
      </c>
      <c r="Q22" s="117"/>
      <c r="R22" s="323">
        <v>127</v>
      </c>
      <c r="S22" s="117"/>
      <c r="T22" s="323"/>
      <c r="U22" s="117"/>
      <c r="V22" s="323">
        <v>9</v>
      </c>
      <c r="W22" s="117"/>
      <c r="X22" s="323"/>
      <c r="Y22" s="117"/>
      <c r="Z22" s="162">
        <f t="shared" ref="Z22:Z32" si="1">R22+V22-X22+T22</f>
        <v>136</v>
      </c>
      <c r="AA22" s="117"/>
      <c r="AB22" s="162">
        <f>P22-Z22</f>
        <v>4</v>
      </c>
      <c r="AC22" s="117"/>
      <c r="AD22" s="409">
        <f t="shared" ref="AD22:AD32" si="2">F22-R22</f>
        <v>13</v>
      </c>
      <c r="AE22" s="419"/>
      <c r="AF22" s="162"/>
    </row>
    <row r="23" spans="2:32" x14ac:dyDescent="0.25">
      <c r="B23" s="317"/>
      <c r="D23" s="166" t="s">
        <v>347</v>
      </c>
      <c r="E23" s="162"/>
      <c r="F23" s="323">
        <v>7263</v>
      </c>
      <c r="G23" s="117"/>
      <c r="H23" s="323"/>
      <c r="I23" s="117"/>
      <c r="J23" s="323">
        <v>52</v>
      </c>
      <c r="K23" s="117"/>
      <c r="L23" s="323"/>
      <c r="M23" s="117"/>
      <c r="N23" s="323"/>
      <c r="O23" s="117"/>
      <c r="P23" s="162">
        <f t="shared" ref="P23:P32" si="3">F23+J23-L23-N23+H23</f>
        <v>7315</v>
      </c>
      <c r="Q23" s="117"/>
      <c r="R23" s="323">
        <v>3912</v>
      </c>
      <c r="S23" s="117"/>
      <c r="T23" s="323"/>
      <c r="U23" s="117"/>
      <c r="V23" s="323">
        <v>543</v>
      </c>
      <c r="W23" s="117"/>
      <c r="X23" s="323"/>
      <c r="Y23" s="117"/>
      <c r="Z23" s="162">
        <f t="shared" si="1"/>
        <v>4455</v>
      </c>
      <c r="AA23" s="117"/>
      <c r="AB23" s="162">
        <f t="shared" ref="AB23:AB32" si="4">P23-Z23</f>
        <v>2860</v>
      </c>
      <c r="AC23" s="117"/>
      <c r="AD23" s="409">
        <f t="shared" si="2"/>
        <v>3351</v>
      </c>
      <c r="AE23" s="419"/>
      <c r="AF23" s="162"/>
    </row>
    <row r="24" spans="2:32" x14ac:dyDescent="0.25">
      <c r="B24" s="229"/>
      <c r="D24" s="166" t="s">
        <v>348</v>
      </c>
      <c r="E24" s="162"/>
      <c r="F24" s="323">
        <v>0</v>
      </c>
      <c r="G24" s="117"/>
      <c r="H24" s="323"/>
      <c r="I24" s="117"/>
      <c r="J24" s="323"/>
      <c r="K24" s="117"/>
      <c r="L24" s="323"/>
      <c r="M24" s="117"/>
      <c r="N24" s="323"/>
      <c r="O24" s="117"/>
      <c r="P24" s="162">
        <f t="shared" si="3"/>
        <v>0</v>
      </c>
      <c r="Q24" s="117"/>
      <c r="R24" s="323">
        <v>0</v>
      </c>
      <c r="S24" s="117"/>
      <c r="T24" s="323"/>
      <c r="U24" s="117"/>
      <c r="V24" s="323"/>
      <c r="W24" s="117"/>
      <c r="X24" s="323"/>
      <c r="Y24" s="117"/>
      <c r="Z24" s="162">
        <f t="shared" si="1"/>
        <v>0</v>
      </c>
      <c r="AA24" s="117"/>
      <c r="AB24" s="162">
        <f t="shared" si="4"/>
        <v>0</v>
      </c>
      <c r="AC24" s="117"/>
      <c r="AD24" s="409">
        <f t="shared" si="2"/>
        <v>0</v>
      </c>
      <c r="AE24" s="419"/>
      <c r="AF24" s="162"/>
    </row>
    <row r="25" spans="2:32" x14ac:dyDescent="0.25">
      <c r="B25" s="229"/>
      <c r="D25" s="166" t="s">
        <v>349</v>
      </c>
      <c r="E25" s="162"/>
      <c r="F25" s="323">
        <v>111585</v>
      </c>
      <c r="G25" s="117"/>
      <c r="H25" s="323"/>
      <c r="I25" s="117"/>
      <c r="J25" s="323">
        <f>8341-4773+694</f>
        <v>4262</v>
      </c>
      <c r="K25" s="117"/>
      <c r="L25" s="323">
        <v>694</v>
      </c>
      <c r="M25" s="117"/>
      <c r="N25" s="323"/>
      <c r="O25" s="117"/>
      <c r="P25" s="162">
        <f t="shared" si="3"/>
        <v>115153</v>
      </c>
      <c r="Q25" s="117"/>
      <c r="R25" s="323">
        <v>51562</v>
      </c>
      <c r="S25" s="117"/>
      <c r="T25" s="323"/>
      <c r="U25" s="117"/>
      <c r="V25" s="323">
        <f>5276-2778-4</f>
        <v>2494</v>
      </c>
      <c r="W25" s="117"/>
      <c r="X25" s="323"/>
      <c r="Y25" s="117"/>
      <c r="Z25" s="162">
        <f t="shared" si="1"/>
        <v>54056</v>
      </c>
      <c r="AA25" s="117"/>
      <c r="AB25" s="162">
        <f t="shared" si="4"/>
        <v>61097</v>
      </c>
      <c r="AC25" s="117"/>
      <c r="AD25" s="409">
        <f t="shared" si="2"/>
        <v>60023</v>
      </c>
      <c r="AE25" s="419"/>
      <c r="AF25" s="162"/>
    </row>
    <row r="26" spans="2:32" x14ac:dyDescent="0.25">
      <c r="B26" s="229"/>
      <c r="D26" s="166" t="s">
        <v>350</v>
      </c>
      <c r="E26" s="162"/>
      <c r="F26" s="323">
        <v>367</v>
      </c>
      <c r="G26" s="117"/>
      <c r="H26" s="323"/>
      <c r="I26" s="117"/>
      <c r="J26" s="323">
        <v>79</v>
      </c>
      <c r="K26" s="117"/>
      <c r="L26" s="323"/>
      <c r="M26" s="117"/>
      <c r="N26" s="323"/>
      <c r="O26" s="117"/>
      <c r="P26" s="162">
        <f t="shared" si="3"/>
        <v>446</v>
      </c>
      <c r="Q26" s="117"/>
      <c r="R26" s="323">
        <v>329</v>
      </c>
      <c r="S26" s="117"/>
      <c r="T26" s="323"/>
      <c r="U26" s="117"/>
      <c r="V26" s="323">
        <v>65</v>
      </c>
      <c r="W26" s="117"/>
      <c r="X26" s="323"/>
      <c r="Y26" s="117"/>
      <c r="Z26" s="162">
        <f t="shared" si="1"/>
        <v>394</v>
      </c>
      <c r="AA26" s="117"/>
      <c r="AB26" s="162">
        <f t="shared" si="4"/>
        <v>52</v>
      </c>
      <c r="AC26" s="117"/>
      <c r="AD26" s="409">
        <f t="shared" si="2"/>
        <v>38</v>
      </c>
      <c r="AE26" s="419"/>
      <c r="AF26" s="162"/>
    </row>
    <row r="27" spans="2:32" x14ac:dyDescent="0.25">
      <c r="B27" s="229"/>
      <c r="D27" s="166" t="s">
        <v>351</v>
      </c>
      <c r="E27" s="162"/>
      <c r="F27" s="323">
        <v>0</v>
      </c>
      <c r="G27" s="117"/>
      <c r="H27" s="323"/>
      <c r="I27" s="117"/>
      <c r="J27" s="323"/>
      <c r="K27" s="117"/>
      <c r="L27" s="323"/>
      <c r="M27" s="117"/>
      <c r="N27" s="323"/>
      <c r="O27" s="117"/>
      <c r="P27" s="162">
        <f t="shared" si="3"/>
        <v>0</v>
      </c>
      <c r="Q27" s="117"/>
      <c r="R27" s="323">
        <v>0</v>
      </c>
      <c r="S27" s="117"/>
      <c r="T27" s="323"/>
      <c r="U27" s="117"/>
      <c r="V27" s="323"/>
      <c r="W27" s="117"/>
      <c r="X27" s="323"/>
      <c r="Y27" s="117"/>
      <c r="Z27" s="162">
        <f t="shared" si="1"/>
        <v>0</v>
      </c>
      <c r="AA27" s="117"/>
      <c r="AB27" s="162">
        <f t="shared" si="4"/>
        <v>0</v>
      </c>
      <c r="AC27" s="117"/>
      <c r="AD27" s="409">
        <f t="shared" si="2"/>
        <v>0</v>
      </c>
      <c r="AE27" s="419"/>
      <c r="AF27" s="162"/>
    </row>
    <row r="28" spans="2:32" x14ac:dyDescent="0.25">
      <c r="B28" s="229"/>
      <c r="D28" s="166" t="s">
        <v>352</v>
      </c>
      <c r="E28" s="162"/>
      <c r="F28" s="323">
        <v>0</v>
      </c>
      <c r="G28" s="117"/>
      <c r="H28" s="323"/>
      <c r="I28" s="117"/>
      <c r="J28" s="323"/>
      <c r="K28" s="117"/>
      <c r="L28" s="323"/>
      <c r="M28" s="117"/>
      <c r="N28" s="323"/>
      <c r="O28" s="117"/>
      <c r="P28" s="162">
        <f t="shared" si="3"/>
        <v>0</v>
      </c>
      <c r="Q28" s="117"/>
      <c r="R28" s="323">
        <v>0</v>
      </c>
      <c r="S28" s="117"/>
      <c r="T28" s="323"/>
      <c r="U28" s="117"/>
      <c r="V28" s="323"/>
      <c r="W28" s="117"/>
      <c r="X28" s="323"/>
      <c r="Y28" s="117"/>
      <c r="Z28" s="162">
        <f t="shared" si="1"/>
        <v>0</v>
      </c>
      <c r="AA28" s="117"/>
      <c r="AB28" s="162">
        <f t="shared" si="4"/>
        <v>0</v>
      </c>
      <c r="AC28" s="117"/>
      <c r="AD28" s="409">
        <f t="shared" si="2"/>
        <v>0</v>
      </c>
      <c r="AE28" s="419"/>
      <c r="AF28" s="162"/>
    </row>
    <row r="29" spans="2:32" x14ac:dyDescent="0.25">
      <c r="B29" s="229"/>
      <c r="D29" s="166" t="s">
        <v>297</v>
      </c>
      <c r="E29" s="162"/>
      <c r="F29" s="323">
        <v>171</v>
      </c>
      <c r="G29" s="117"/>
      <c r="H29" s="323"/>
      <c r="I29" s="117"/>
      <c r="J29" s="323"/>
      <c r="K29" s="117"/>
      <c r="L29" s="323"/>
      <c r="M29" s="117"/>
      <c r="N29" s="323"/>
      <c r="O29" s="117"/>
      <c r="P29" s="162">
        <f t="shared" si="3"/>
        <v>171</v>
      </c>
      <c r="Q29" s="117"/>
      <c r="R29" s="323">
        <v>142</v>
      </c>
      <c r="S29" s="117"/>
      <c r="T29" s="323"/>
      <c r="U29" s="117"/>
      <c r="V29" s="323">
        <v>4</v>
      </c>
      <c r="W29" s="117"/>
      <c r="X29" s="323"/>
      <c r="Y29" s="117"/>
      <c r="Z29" s="162">
        <f t="shared" si="1"/>
        <v>146</v>
      </c>
      <c r="AA29" s="117"/>
      <c r="AB29" s="162">
        <f t="shared" si="4"/>
        <v>25</v>
      </c>
      <c r="AC29" s="117"/>
      <c r="AD29" s="409">
        <f t="shared" si="2"/>
        <v>29</v>
      </c>
      <c r="AE29" s="419"/>
      <c r="AF29" s="162"/>
    </row>
    <row r="30" spans="2:32" x14ac:dyDescent="0.25">
      <c r="B30" s="229"/>
      <c r="D30" s="166" t="s">
        <v>344</v>
      </c>
      <c r="E30" s="162"/>
      <c r="F30" s="323">
        <v>603</v>
      </c>
      <c r="G30" s="117"/>
      <c r="H30" s="323"/>
      <c r="I30" s="117"/>
      <c r="J30" s="323">
        <v>2</v>
      </c>
      <c r="K30" s="117"/>
      <c r="L30" s="323"/>
      <c r="M30" s="117"/>
      <c r="N30" s="323"/>
      <c r="O30" s="117"/>
      <c r="P30" s="162">
        <f t="shared" si="3"/>
        <v>605</v>
      </c>
      <c r="Q30" s="117"/>
      <c r="R30" s="323">
        <v>612</v>
      </c>
      <c r="S30" s="117"/>
      <c r="T30" s="323"/>
      <c r="U30" s="117"/>
      <c r="V30" s="323">
        <v>20</v>
      </c>
      <c r="W30" s="117"/>
      <c r="X30" s="323"/>
      <c r="Y30" s="117"/>
      <c r="Z30" s="162">
        <f t="shared" si="1"/>
        <v>632</v>
      </c>
      <c r="AA30" s="117"/>
      <c r="AB30" s="162">
        <f t="shared" si="4"/>
        <v>-27</v>
      </c>
      <c r="AC30" s="117"/>
      <c r="AD30" s="409">
        <f t="shared" si="2"/>
        <v>-9</v>
      </c>
      <c r="AE30" s="419"/>
      <c r="AF30" s="162"/>
    </row>
    <row r="31" spans="2:32" x14ac:dyDescent="0.25">
      <c r="B31" s="229"/>
      <c r="D31" s="166" t="s">
        <v>353</v>
      </c>
      <c r="E31" s="162"/>
      <c r="F31" s="323">
        <v>0</v>
      </c>
      <c r="G31" s="117"/>
      <c r="H31" s="323"/>
      <c r="I31" s="117"/>
      <c r="J31" s="323"/>
      <c r="K31" s="117"/>
      <c r="L31" s="323"/>
      <c r="M31" s="117"/>
      <c r="N31" s="323"/>
      <c r="O31" s="117"/>
      <c r="P31" s="162">
        <f t="shared" si="3"/>
        <v>0</v>
      </c>
      <c r="Q31" s="117"/>
      <c r="R31" s="323">
        <v>0</v>
      </c>
      <c r="S31" s="117"/>
      <c r="T31" s="323"/>
      <c r="U31" s="117"/>
      <c r="V31" s="323"/>
      <c r="W31" s="117"/>
      <c r="X31" s="323"/>
      <c r="Y31" s="117"/>
      <c r="Z31" s="162">
        <f t="shared" si="1"/>
        <v>0</v>
      </c>
      <c r="AA31" s="117"/>
      <c r="AB31" s="162">
        <f t="shared" si="4"/>
        <v>0</v>
      </c>
      <c r="AC31" s="117"/>
      <c r="AD31" s="409">
        <f t="shared" si="2"/>
        <v>0</v>
      </c>
      <c r="AE31" s="419"/>
      <c r="AF31" s="162"/>
    </row>
    <row r="32" spans="2:32" x14ac:dyDescent="0.25">
      <c r="B32" s="229"/>
      <c r="D32" s="167" t="s">
        <v>354</v>
      </c>
      <c r="E32" s="162"/>
      <c r="F32" s="323">
        <v>0</v>
      </c>
      <c r="G32" s="117"/>
      <c r="H32" s="323"/>
      <c r="I32" s="117"/>
      <c r="J32" s="323"/>
      <c r="K32" s="117"/>
      <c r="L32" s="323"/>
      <c r="M32" s="117"/>
      <c r="N32" s="323"/>
      <c r="O32" s="117"/>
      <c r="P32" s="162">
        <f t="shared" si="3"/>
        <v>0</v>
      </c>
      <c r="Q32" s="117"/>
      <c r="R32" s="323">
        <v>0</v>
      </c>
      <c r="S32" s="117"/>
      <c r="T32" s="323"/>
      <c r="U32" s="117"/>
      <c r="V32" s="323"/>
      <c r="W32" s="117"/>
      <c r="X32" s="323"/>
      <c r="Y32" s="117"/>
      <c r="Z32" s="162">
        <f t="shared" si="1"/>
        <v>0</v>
      </c>
      <c r="AA32" s="117"/>
      <c r="AB32" s="162">
        <f t="shared" si="4"/>
        <v>0</v>
      </c>
      <c r="AC32" s="117"/>
      <c r="AD32" s="409">
        <f t="shared" si="2"/>
        <v>0</v>
      </c>
      <c r="AE32" s="419"/>
      <c r="AF32" s="162"/>
    </row>
    <row r="33" spans="2:32" x14ac:dyDescent="0.25">
      <c r="B33" s="229"/>
      <c r="D33" s="167" t="s">
        <v>834</v>
      </c>
      <c r="E33" s="162"/>
      <c r="F33" s="323">
        <v>0</v>
      </c>
      <c r="G33" s="117"/>
      <c r="H33" s="323"/>
      <c r="I33" s="117"/>
      <c r="J33" s="323"/>
      <c r="K33" s="117"/>
      <c r="L33" s="323"/>
      <c r="M33" s="117"/>
      <c r="N33" s="323"/>
      <c r="O33" s="117"/>
      <c r="P33" s="162">
        <f t="shared" ref="P33" si="5">F33+J33-L33-N33+H33</f>
        <v>0</v>
      </c>
      <c r="Q33" s="117"/>
      <c r="R33" s="323">
        <v>0</v>
      </c>
      <c r="S33" s="117"/>
      <c r="T33" s="323"/>
      <c r="U33" s="117"/>
      <c r="V33" s="323"/>
      <c r="W33" s="117"/>
      <c r="X33" s="323"/>
      <c r="Y33" s="117"/>
      <c r="Z33" s="162">
        <f t="shared" ref="Z33" si="6">R33+V33-X33+T33</f>
        <v>0</v>
      </c>
      <c r="AA33" s="117"/>
      <c r="AB33" s="162">
        <f t="shared" ref="AB33" si="7">P33-Z33</f>
        <v>0</v>
      </c>
      <c r="AC33" s="117"/>
      <c r="AD33" s="409">
        <f t="shared" ref="AD33" si="8">F33-R33</f>
        <v>0</v>
      </c>
      <c r="AE33" s="419"/>
      <c r="AF33" s="162"/>
    </row>
    <row r="34" spans="2:32" x14ac:dyDescent="0.25">
      <c r="B34" s="229"/>
      <c r="D34" s="166"/>
      <c r="E34" s="162"/>
      <c r="F34" s="305">
        <f>SUM(F22:F33)</f>
        <v>120129</v>
      </c>
      <c r="G34" s="117"/>
      <c r="H34" s="305">
        <f>SUM(H22:H33)</f>
        <v>0</v>
      </c>
      <c r="I34" s="117"/>
      <c r="J34" s="305">
        <f>SUM(J22:J33)</f>
        <v>4395</v>
      </c>
      <c r="K34" s="117"/>
      <c r="L34" s="305">
        <f>SUM(L22:L33)</f>
        <v>694</v>
      </c>
      <c r="M34" s="117"/>
      <c r="N34" s="305">
        <f>SUM(N22:N33)</f>
        <v>0</v>
      </c>
      <c r="O34" s="117"/>
      <c r="P34" s="305">
        <f>SUM(P22:P33)</f>
        <v>123830</v>
      </c>
      <c r="Q34" s="117"/>
      <c r="R34" s="305">
        <f>SUM(R22:R33)</f>
        <v>56684</v>
      </c>
      <c r="S34" s="117"/>
      <c r="T34" s="305">
        <f>SUM(T22:T33)</f>
        <v>0</v>
      </c>
      <c r="U34" s="117"/>
      <c r="V34" s="305">
        <f>SUM(V22:V33)</f>
        <v>3135</v>
      </c>
      <c r="W34" s="117"/>
      <c r="X34" s="305">
        <f>SUM(X22:X33)</f>
        <v>0</v>
      </c>
      <c r="Y34" s="117"/>
      <c r="Z34" s="305">
        <f>SUM(Z22:Z33)</f>
        <v>59819</v>
      </c>
      <c r="AA34" s="117"/>
      <c r="AB34" s="305">
        <f>SUM(AB22:AB33)</f>
        <v>64011</v>
      </c>
      <c r="AC34" s="117"/>
      <c r="AD34" s="410">
        <f>SUM(AD22:AD32)</f>
        <v>63445</v>
      </c>
      <c r="AE34" s="419"/>
      <c r="AF34" s="162"/>
    </row>
    <row r="35" spans="2:32" x14ac:dyDescent="0.25">
      <c r="B35" s="229"/>
      <c r="D35" s="166"/>
      <c r="E35" s="162"/>
      <c r="F35" s="117"/>
      <c r="G35" s="117"/>
      <c r="H35" s="117"/>
      <c r="I35" s="117"/>
      <c r="J35" s="117"/>
      <c r="K35" s="117"/>
      <c r="L35" s="117"/>
      <c r="M35" s="117"/>
      <c r="N35" s="117"/>
      <c r="O35" s="117"/>
      <c r="P35" s="162"/>
      <c r="Q35" s="117"/>
      <c r="R35" s="117"/>
      <c r="S35" s="117"/>
      <c r="T35" s="117"/>
      <c r="U35" s="117"/>
      <c r="V35" s="117"/>
      <c r="W35" s="117"/>
      <c r="X35" s="117"/>
      <c r="Y35" s="117"/>
      <c r="Z35" s="162"/>
      <c r="AA35" s="117"/>
      <c r="AB35" s="162"/>
      <c r="AC35" s="117"/>
      <c r="AD35" s="409"/>
      <c r="AE35" s="419"/>
      <c r="AF35" s="162"/>
    </row>
    <row r="36" spans="2:32" s="283" customFormat="1" x14ac:dyDescent="0.25">
      <c r="B36" s="317" t="s">
        <v>355</v>
      </c>
      <c r="D36" s="166"/>
      <c r="E36" s="162"/>
      <c r="F36" s="305">
        <f>F19+F34</f>
        <v>121672</v>
      </c>
      <c r="G36" s="117"/>
      <c r="H36" s="305">
        <f>H19+H34</f>
        <v>0</v>
      </c>
      <c r="I36" s="117"/>
      <c r="J36" s="305">
        <f>J19+J34</f>
        <v>4395</v>
      </c>
      <c r="K36" s="117"/>
      <c r="L36" s="305">
        <f>L19+L34</f>
        <v>694</v>
      </c>
      <c r="M36" s="117"/>
      <c r="N36" s="305">
        <f>N19+N34</f>
        <v>0</v>
      </c>
      <c r="O36" s="117"/>
      <c r="P36" s="305">
        <f>P19+P34</f>
        <v>125373</v>
      </c>
      <c r="Q36" s="117"/>
      <c r="R36" s="305">
        <f>R19+R34</f>
        <v>57899</v>
      </c>
      <c r="S36" s="117"/>
      <c r="T36" s="305">
        <f>T19+T34</f>
        <v>0</v>
      </c>
      <c r="U36" s="117"/>
      <c r="V36" s="305">
        <f>V19+V34</f>
        <v>3184</v>
      </c>
      <c r="W36" s="117"/>
      <c r="X36" s="305">
        <f>X19+X34</f>
        <v>0</v>
      </c>
      <c r="Y36" s="117"/>
      <c r="Z36" s="305">
        <f>Z19+Z34</f>
        <v>61083</v>
      </c>
      <c r="AA36" s="117"/>
      <c r="AB36" s="305">
        <f>AB19+AB34</f>
        <v>64290</v>
      </c>
      <c r="AC36" s="117"/>
      <c r="AD36" s="410">
        <f>AD19+AD34</f>
        <v>63773</v>
      </c>
      <c r="AE36" s="419"/>
      <c r="AF36" s="162"/>
    </row>
    <row r="37" spans="2:32" x14ac:dyDescent="0.25">
      <c r="B37" s="422"/>
      <c r="C37" s="411"/>
      <c r="D37" s="412"/>
      <c r="E37" s="413"/>
      <c r="F37" s="414"/>
      <c r="G37" s="414"/>
      <c r="H37" s="414"/>
      <c r="I37" s="414"/>
      <c r="J37" s="414"/>
      <c r="K37" s="414"/>
      <c r="L37" s="414"/>
      <c r="M37" s="414"/>
      <c r="N37" s="414"/>
      <c r="O37" s="414"/>
      <c r="P37" s="413"/>
      <c r="Q37" s="414"/>
      <c r="R37" s="414"/>
      <c r="S37" s="414"/>
      <c r="T37" s="414"/>
      <c r="U37" s="414"/>
      <c r="V37" s="414"/>
      <c r="W37" s="414"/>
      <c r="X37" s="414"/>
      <c r="Y37" s="414"/>
      <c r="Z37" s="413"/>
      <c r="AA37" s="414"/>
      <c r="AB37" s="413"/>
      <c r="AC37" s="414"/>
      <c r="AD37" s="415"/>
      <c r="AE37" s="419"/>
      <c r="AF37" s="162"/>
    </row>
    <row r="38" spans="2:32" x14ac:dyDescent="0.25">
      <c r="B38" s="420" t="s">
        <v>356</v>
      </c>
      <c r="C38" s="404"/>
      <c r="D38" s="405"/>
      <c r="E38" s="406"/>
      <c r="F38" s="407"/>
      <c r="G38" s="407"/>
      <c r="H38" s="407"/>
      <c r="I38" s="407"/>
      <c r="J38" s="407"/>
      <c r="K38" s="407"/>
      <c r="L38" s="407"/>
      <c r="M38" s="407"/>
      <c r="N38" s="407"/>
      <c r="O38" s="407"/>
      <c r="P38" s="406"/>
      <c r="Q38" s="407"/>
      <c r="R38" s="407"/>
      <c r="S38" s="407"/>
      <c r="T38" s="407"/>
      <c r="U38" s="407"/>
      <c r="V38" s="407"/>
      <c r="W38" s="407"/>
      <c r="X38" s="407"/>
      <c r="Y38" s="407"/>
      <c r="Z38" s="406"/>
      <c r="AA38" s="407"/>
      <c r="AB38" s="406"/>
      <c r="AC38" s="407"/>
      <c r="AD38" s="408"/>
      <c r="AE38" s="419"/>
      <c r="AF38" s="162"/>
    </row>
    <row r="39" spans="2:32" x14ac:dyDescent="0.25">
      <c r="B39" s="317"/>
      <c r="D39" s="166" t="s">
        <v>343</v>
      </c>
      <c r="E39" s="162"/>
      <c r="F39" s="323">
        <v>37778</v>
      </c>
      <c r="G39" s="117"/>
      <c r="H39" s="323"/>
      <c r="I39" s="117"/>
      <c r="J39" s="323">
        <v>9272</v>
      </c>
      <c r="K39" s="117"/>
      <c r="L39" s="323"/>
      <c r="M39" s="117"/>
      <c r="N39" s="323"/>
      <c r="O39" s="117"/>
      <c r="P39" s="162">
        <f t="shared" ref="P39:P48" si="9">F39+J39-L39-N39+H39</f>
        <v>47050</v>
      </c>
      <c r="Q39" s="117"/>
      <c r="R39" s="323">
        <v>15327</v>
      </c>
      <c r="S39" s="117"/>
      <c r="T39" s="323"/>
      <c r="U39" s="117"/>
      <c r="V39" s="323">
        <v>1573</v>
      </c>
      <c r="W39" s="117"/>
      <c r="X39" s="323"/>
      <c r="Y39" s="117"/>
      <c r="Z39" s="162">
        <f t="shared" ref="Z39:Z48" si="10">R39+V39-X39+T39</f>
        <v>16900</v>
      </c>
      <c r="AA39" s="117"/>
      <c r="AB39" s="162">
        <f>P39-Z39</f>
        <v>30150</v>
      </c>
      <c r="AC39" s="117"/>
      <c r="AD39" s="409">
        <f t="shared" ref="AD39:AD48" si="11">F39-R39</f>
        <v>22451</v>
      </c>
      <c r="AE39" s="419"/>
      <c r="AF39" s="162"/>
    </row>
    <row r="40" spans="2:32" x14ac:dyDescent="0.25">
      <c r="B40" s="317"/>
      <c r="D40" s="166" t="s">
        <v>349</v>
      </c>
      <c r="E40" s="162"/>
      <c r="F40" s="323">
        <v>218655</v>
      </c>
      <c r="G40" s="117"/>
      <c r="H40" s="323"/>
      <c r="I40" s="117"/>
      <c r="J40" s="323">
        <f>6845+1459</f>
        <v>8304</v>
      </c>
      <c r="K40" s="117"/>
      <c r="L40" s="323">
        <v>1459</v>
      </c>
      <c r="M40" s="117"/>
      <c r="N40" s="323"/>
      <c r="O40" s="117"/>
      <c r="P40" s="162">
        <f t="shared" si="9"/>
        <v>225500</v>
      </c>
      <c r="Q40" s="117"/>
      <c r="R40" s="323">
        <v>91597</v>
      </c>
      <c r="S40" s="117"/>
      <c r="T40" s="323"/>
      <c r="U40" s="117"/>
      <c r="V40" s="323">
        <v>5656</v>
      </c>
      <c r="W40" s="117"/>
      <c r="X40" s="323"/>
      <c r="Y40" s="117"/>
      <c r="Z40" s="162">
        <f t="shared" si="10"/>
        <v>97253</v>
      </c>
      <c r="AA40" s="117"/>
      <c r="AB40" s="162">
        <f t="shared" ref="AB40:AB48" si="12">P40-Z40</f>
        <v>128247</v>
      </c>
      <c r="AC40" s="117"/>
      <c r="AD40" s="409">
        <f t="shared" si="11"/>
        <v>127058</v>
      </c>
      <c r="AE40" s="419"/>
      <c r="AF40" s="162"/>
    </row>
    <row r="41" spans="2:32" x14ac:dyDescent="0.25">
      <c r="B41" s="317"/>
      <c r="D41" s="166" t="s">
        <v>350</v>
      </c>
      <c r="E41" s="162"/>
      <c r="F41" s="323">
        <v>0</v>
      </c>
      <c r="G41" s="117"/>
      <c r="H41" s="323"/>
      <c r="I41" s="117"/>
      <c r="J41" s="323"/>
      <c r="K41" s="117"/>
      <c r="L41" s="323"/>
      <c r="M41" s="117"/>
      <c r="N41" s="323"/>
      <c r="O41" s="117"/>
      <c r="P41" s="162">
        <f t="shared" si="9"/>
        <v>0</v>
      </c>
      <c r="Q41" s="117"/>
      <c r="R41" s="323">
        <v>0</v>
      </c>
      <c r="S41" s="117"/>
      <c r="T41" s="323"/>
      <c r="U41" s="117"/>
      <c r="V41" s="323"/>
      <c r="W41" s="117"/>
      <c r="X41" s="323"/>
      <c r="Y41" s="117"/>
      <c r="Z41" s="162">
        <f t="shared" si="10"/>
        <v>0</v>
      </c>
      <c r="AA41" s="117"/>
      <c r="AB41" s="162">
        <f t="shared" si="12"/>
        <v>0</v>
      </c>
      <c r="AC41" s="117"/>
      <c r="AD41" s="409">
        <f t="shared" si="11"/>
        <v>0</v>
      </c>
      <c r="AE41" s="419"/>
      <c r="AF41" s="162"/>
    </row>
    <row r="42" spans="2:32" x14ac:dyDescent="0.25">
      <c r="B42" s="317"/>
      <c r="D42" s="166" t="s">
        <v>351</v>
      </c>
      <c r="E42" s="162"/>
      <c r="F42" s="323">
        <v>0</v>
      </c>
      <c r="G42" s="117"/>
      <c r="H42" s="323"/>
      <c r="I42" s="117"/>
      <c r="J42" s="323"/>
      <c r="K42" s="117"/>
      <c r="L42" s="323"/>
      <c r="M42" s="117"/>
      <c r="N42" s="323"/>
      <c r="O42" s="117"/>
      <c r="P42" s="162">
        <f t="shared" si="9"/>
        <v>0</v>
      </c>
      <c r="Q42" s="117"/>
      <c r="R42" s="323">
        <v>0</v>
      </c>
      <c r="S42" s="117"/>
      <c r="T42" s="323"/>
      <c r="U42" s="117"/>
      <c r="V42" s="323"/>
      <c r="W42" s="117"/>
      <c r="X42" s="323"/>
      <c r="Y42" s="117"/>
      <c r="Z42" s="162">
        <f t="shared" si="10"/>
        <v>0</v>
      </c>
      <c r="AA42" s="117"/>
      <c r="AB42" s="162">
        <f t="shared" si="12"/>
        <v>0</v>
      </c>
      <c r="AC42" s="117"/>
      <c r="AD42" s="409">
        <f t="shared" si="11"/>
        <v>0</v>
      </c>
      <c r="AE42" s="419"/>
      <c r="AF42" s="162"/>
    </row>
    <row r="43" spans="2:32" x14ac:dyDescent="0.25">
      <c r="B43" s="317"/>
      <c r="D43" s="166" t="s">
        <v>352</v>
      </c>
      <c r="E43" s="162"/>
      <c r="F43" s="323">
        <v>0</v>
      </c>
      <c r="G43" s="117"/>
      <c r="H43" s="323"/>
      <c r="I43" s="117"/>
      <c r="J43" s="323"/>
      <c r="K43" s="117"/>
      <c r="L43" s="323"/>
      <c r="M43" s="117"/>
      <c r="N43" s="323"/>
      <c r="O43" s="117"/>
      <c r="P43" s="162">
        <f t="shared" si="9"/>
        <v>0</v>
      </c>
      <c r="Q43" s="117"/>
      <c r="R43" s="323">
        <v>0</v>
      </c>
      <c r="S43" s="117"/>
      <c r="T43" s="323"/>
      <c r="U43" s="117"/>
      <c r="V43" s="323"/>
      <c r="W43" s="117"/>
      <c r="X43" s="323"/>
      <c r="Y43" s="117"/>
      <c r="Z43" s="162">
        <f t="shared" si="10"/>
        <v>0</v>
      </c>
      <c r="AA43" s="117"/>
      <c r="AB43" s="162">
        <f t="shared" si="12"/>
        <v>0</v>
      </c>
      <c r="AC43" s="117"/>
      <c r="AD43" s="409">
        <f t="shared" si="11"/>
        <v>0</v>
      </c>
      <c r="AE43" s="419"/>
      <c r="AF43" s="162"/>
    </row>
    <row r="44" spans="2:32" x14ac:dyDescent="0.25">
      <c r="B44" s="317"/>
      <c r="D44" s="166" t="s">
        <v>297</v>
      </c>
      <c r="E44" s="162"/>
      <c r="F44" s="323">
        <v>0</v>
      </c>
      <c r="G44" s="117"/>
      <c r="H44" s="323"/>
      <c r="I44" s="117"/>
      <c r="J44" s="323"/>
      <c r="K44" s="117"/>
      <c r="L44" s="323"/>
      <c r="M44" s="117"/>
      <c r="N44" s="323"/>
      <c r="O44" s="117"/>
      <c r="P44" s="162">
        <f t="shared" si="9"/>
        <v>0</v>
      </c>
      <c r="Q44" s="117"/>
      <c r="R44" s="323">
        <v>0</v>
      </c>
      <c r="S44" s="117"/>
      <c r="T44" s="323"/>
      <c r="U44" s="117"/>
      <c r="V44" s="323"/>
      <c r="W44" s="117"/>
      <c r="X44" s="323"/>
      <c r="Y44" s="117"/>
      <c r="Z44" s="162">
        <f t="shared" si="10"/>
        <v>0</v>
      </c>
      <c r="AA44" s="117"/>
      <c r="AB44" s="162">
        <f t="shared" si="12"/>
        <v>0</v>
      </c>
      <c r="AC44" s="117"/>
      <c r="AD44" s="409">
        <f t="shared" si="11"/>
        <v>0</v>
      </c>
      <c r="AE44" s="419"/>
      <c r="AF44" s="162"/>
    </row>
    <row r="45" spans="2:32" x14ac:dyDescent="0.25">
      <c r="B45" s="317"/>
      <c r="D45" s="166" t="s">
        <v>344</v>
      </c>
      <c r="E45" s="162"/>
      <c r="F45" s="323">
        <v>1396</v>
      </c>
      <c r="G45" s="117"/>
      <c r="H45" s="323"/>
      <c r="I45" s="117"/>
      <c r="J45" s="323"/>
      <c r="K45" s="117"/>
      <c r="L45" s="323"/>
      <c r="M45" s="117"/>
      <c r="N45" s="323"/>
      <c r="O45" s="117"/>
      <c r="P45" s="162">
        <f t="shared" si="9"/>
        <v>1396</v>
      </c>
      <c r="Q45" s="117"/>
      <c r="R45" s="323">
        <v>1060</v>
      </c>
      <c r="S45" s="117"/>
      <c r="T45" s="323"/>
      <c r="U45" s="117"/>
      <c r="V45" s="323">
        <v>52</v>
      </c>
      <c r="W45" s="117"/>
      <c r="X45" s="323"/>
      <c r="Y45" s="117"/>
      <c r="Z45" s="162">
        <f t="shared" si="10"/>
        <v>1112</v>
      </c>
      <c r="AA45" s="117"/>
      <c r="AB45" s="162">
        <f t="shared" si="12"/>
        <v>284</v>
      </c>
      <c r="AC45" s="117"/>
      <c r="AD45" s="409">
        <f t="shared" si="11"/>
        <v>336</v>
      </c>
      <c r="AE45" s="419"/>
      <c r="AF45" s="162"/>
    </row>
    <row r="46" spans="2:32" x14ac:dyDescent="0.25">
      <c r="B46" s="317"/>
      <c r="D46" s="166" t="s">
        <v>353</v>
      </c>
      <c r="E46" s="162"/>
      <c r="F46" s="323">
        <v>0</v>
      </c>
      <c r="G46" s="117"/>
      <c r="H46" s="323"/>
      <c r="I46" s="117"/>
      <c r="J46" s="323"/>
      <c r="K46" s="117"/>
      <c r="L46" s="323"/>
      <c r="M46" s="117"/>
      <c r="N46" s="323"/>
      <c r="O46" s="117"/>
      <c r="P46" s="162">
        <f t="shared" si="9"/>
        <v>0</v>
      </c>
      <c r="Q46" s="117"/>
      <c r="R46" s="323">
        <v>0</v>
      </c>
      <c r="S46" s="117"/>
      <c r="T46" s="323"/>
      <c r="U46" s="117"/>
      <c r="V46" s="323"/>
      <c r="W46" s="117"/>
      <c r="X46" s="323"/>
      <c r="Y46" s="117"/>
      <c r="Z46" s="162">
        <f t="shared" si="10"/>
        <v>0</v>
      </c>
      <c r="AA46" s="117"/>
      <c r="AB46" s="162">
        <f t="shared" si="12"/>
        <v>0</v>
      </c>
      <c r="AC46" s="117"/>
      <c r="AD46" s="409">
        <f t="shared" si="11"/>
        <v>0</v>
      </c>
      <c r="AE46" s="419"/>
      <c r="AF46" s="162"/>
    </row>
    <row r="47" spans="2:32" x14ac:dyDescent="0.25">
      <c r="B47" s="317"/>
      <c r="D47" s="166" t="s">
        <v>357</v>
      </c>
      <c r="E47" s="162"/>
      <c r="F47" s="323">
        <v>2464</v>
      </c>
      <c r="G47" s="117"/>
      <c r="H47" s="323"/>
      <c r="I47" s="117"/>
      <c r="J47" s="323"/>
      <c r="K47" s="117"/>
      <c r="L47" s="323"/>
      <c r="M47" s="117"/>
      <c r="N47" s="323"/>
      <c r="O47" s="117"/>
      <c r="P47" s="162">
        <f t="shared" si="9"/>
        <v>2464</v>
      </c>
      <c r="Q47" s="117"/>
      <c r="R47" s="323">
        <v>2116</v>
      </c>
      <c r="S47" s="117"/>
      <c r="T47" s="323"/>
      <c r="U47" s="117"/>
      <c r="V47" s="323">
        <v>50</v>
      </c>
      <c r="W47" s="117"/>
      <c r="X47" s="323"/>
      <c r="Y47" s="117"/>
      <c r="Z47" s="162">
        <f t="shared" si="10"/>
        <v>2166</v>
      </c>
      <c r="AA47" s="117"/>
      <c r="AB47" s="162">
        <f t="shared" si="12"/>
        <v>298</v>
      </c>
      <c r="AC47" s="117"/>
      <c r="AD47" s="409">
        <f t="shared" si="11"/>
        <v>348</v>
      </c>
      <c r="AE47" s="419"/>
      <c r="AF47" s="162"/>
    </row>
    <row r="48" spans="2:32" x14ac:dyDescent="0.25">
      <c r="B48" s="317"/>
      <c r="D48" s="167" t="s">
        <v>345</v>
      </c>
      <c r="E48" s="162"/>
      <c r="F48" s="323">
        <v>406</v>
      </c>
      <c r="G48" s="117"/>
      <c r="H48" s="323"/>
      <c r="I48" s="117"/>
      <c r="J48" s="323"/>
      <c r="K48" s="117"/>
      <c r="L48" s="323"/>
      <c r="M48" s="117"/>
      <c r="N48" s="323"/>
      <c r="O48" s="117"/>
      <c r="P48" s="162">
        <f t="shared" si="9"/>
        <v>406</v>
      </c>
      <c r="Q48" s="117"/>
      <c r="R48" s="323">
        <v>25</v>
      </c>
      <c r="S48" s="117"/>
      <c r="T48" s="323"/>
      <c r="U48" s="117"/>
      <c r="V48" s="323">
        <v>1</v>
      </c>
      <c r="W48" s="117"/>
      <c r="X48" s="323"/>
      <c r="Y48" s="117"/>
      <c r="Z48" s="162">
        <f t="shared" si="10"/>
        <v>26</v>
      </c>
      <c r="AA48" s="117"/>
      <c r="AB48" s="162">
        <f t="shared" si="12"/>
        <v>380</v>
      </c>
      <c r="AC48" s="117"/>
      <c r="AD48" s="409">
        <f t="shared" si="11"/>
        <v>381</v>
      </c>
      <c r="AE48" s="419"/>
      <c r="AF48" s="162"/>
    </row>
    <row r="49" spans="2:32" x14ac:dyDescent="0.25">
      <c r="B49" s="317"/>
      <c r="D49" s="167" t="s">
        <v>834</v>
      </c>
      <c r="E49" s="162"/>
      <c r="F49" s="323">
        <v>0</v>
      </c>
      <c r="G49" s="117"/>
      <c r="H49" s="323"/>
      <c r="I49" s="117"/>
      <c r="J49" s="323"/>
      <c r="K49" s="117"/>
      <c r="L49" s="323"/>
      <c r="M49" s="117"/>
      <c r="N49" s="323"/>
      <c r="O49" s="117"/>
      <c r="P49" s="162">
        <f t="shared" ref="P49" si="13">F49+J49-L49-N49+H49</f>
        <v>0</v>
      </c>
      <c r="Q49" s="117"/>
      <c r="R49" s="323">
        <v>0</v>
      </c>
      <c r="S49" s="117"/>
      <c r="T49" s="323"/>
      <c r="U49" s="117"/>
      <c r="V49" s="323"/>
      <c r="W49" s="117"/>
      <c r="X49" s="323"/>
      <c r="Y49" s="117"/>
      <c r="Z49" s="162">
        <f t="shared" ref="Z49" si="14">R49+V49-X49+T49</f>
        <v>0</v>
      </c>
      <c r="AA49" s="117"/>
      <c r="AB49" s="162">
        <f t="shared" ref="AB49" si="15">P49-Z49</f>
        <v>0</v>
      </c>
      <c r="AC49" s="117"/>
      <c r="AD49" s="409">
        <f t="shared" ref="AD49" si="16">F49-R49</f>
        <v>0</v>
      </c>
      <c r="AE49" s="419"/>
      <c r="AF49" s="162"/>
    </row>
    <row r="50" spans="2:32" x14ac:dyDescent="0.25">
      <c r="B50" s="317"/>
      <c r="D50" s="166"/>
      <c r="E50" s="162"/>
      <c r="F50" s="305">
        <f>SUM(F37:F49)</f>
        <v>260699</v>
      </c>
      <c r="G50" s="117"/>
      <c r="H50" s="305">
        <f>SUM(H37:H49)</f>
        <v>0</v>
      </c>
      <c r="I50" s="117"/>
      <c r="J50" s="305">
        <f>SUM(J37:J49)</f>
        <v>17576</v>
      </c>
      <c r="K50" s="117"/>
      <c r="L50" s="305">
        <f>SUM(L37:L49)</f>
        <v>1459</v>
      </c>
      <c r="M50" s="117"/>
      <c r="N50" s="305">
        <f>SUM(N37:N49)</f>
        <v>0</v>
      </c>
      <c r="O50" s="117"/>
      <c r="P50" s="305">
        <f>SUM(P37:P49)</f>
        <v>276816</v>
      </c>
      <c r="Q50" s="117"/>
      <c r="R50" s="305">
        <f>SUM(R37:R49)</f>
        <v>110125</v>
      </c>
      <c r="S50" s="117"/>
      <c r="T50" s="305">
        <f>SUM(T37:T49)</f>
        <v>0</v>
      </c>
      <c r="U50" s="117"/>
      <c r="V50" s="305">
        <f>SUM(V37:V49)</f>
        <v>7332</v>
      </c>
      <c r="W50" s="117"/>
      <c r="X50" s="305">
        <f>SUM(X37:X49)</f>
        <v>0</v>
      </c>
      <c r="Y50" s="117"/>
      <c r="Z50" s="305">
        <f>SUM(Z37:Z49)</f>
        <v>117457</v>
      </c>
      <c r="AA50" s="117"/>
      <c r="AB50" s="305">
        <f>SUM(AB37:AB49)</f>
        <v>159359</v>
      </c>
      <c r="AC50" s="117"/>
      <c r="AD50" s="305">
        <f>SUM(AD37:AD49)</f>
        <v>150574</v>
      </c>
      <c r="AE50" s="419"/>
      <c r="AF50" s="162"/>
    </row>
    <row r="51" spans="2:32" x14ac:dyDescent="0.25">
      <c r="B51" s="317"/>
      <c r="D51" s="166"/>
      <c r="E51" s="162"/>
      <c r="F51" s="117"/>
      <c r="G51" s="117"/>
      <c r="H51" s="117"/>
      <c r="I51" s="117"/>
      <c r="J51" s="117"/>
      <c r="K51" s="117"/>
      <c r="L51" s="117"/>
      <c r="M51" s="117"/>
      <c r="N51" s="117"/>
      <c r="O51" s="117"/>
      <c r="P51" s="162"/>
      <c r="Q51" s="117"/>
      <c r="R51" s="117"/>
      <c r="S51" s="117"/>
      <c r="T51" s="117"/>
      <c r="U51" s="117"/>
      <c r="V51" s="117"/>
      <c r="W51" s="117"/>
      <c r="X51" s="117"/>
      <c r="Y51" s="117"/>
      <c r="Z51" s="162"/>
      <c r="AA51" s="117"/>
      <c r="AB51" s="162"/>
      <c r="AC51" s="117"/>
      <c r="AD51" s="409"/>
      <c r="AE51" s="419"/>
      <c r="AF51" s="162"/>
    </row>
    <row r="52" spans="2:32" x14ac:dyDescent="0.25">
      <c r="B52" s="421" t="s">
        <v>154</v>
      </c>
      <c r="D52" s="166"/>
      <c r="E52" s="162"/>
      <c r="F52" s="117"/>
      <c r="G52" s="117"/>
      <c r="H52" s="117"/>
      <c r="I52" s="117"/>
      <c r="J52" s="117"/>
      <c r="K52" s="117"/>
      <c r="L52" s="117"/>
      <c r="M52" s="117"/>
      <c r="N52" s="117"/>
      <c r="O52" s="117"/>
      <c r="P52" s="162"/>
      <c r="Q52" s="117"/>
      <c r="R52" s="117"/>
      <c r="S52" s="117"/>
      <c r="T52" s="117"/>
      <c r="U52" s="117"/>
      <c r="V52" s="117"/>
      <c r="W52" s="117"/>
      <c r="X52" s="117"/>
      <c r="Y52" s="117"/>
      <c r="Z52" s="162"/>
      <c r="AA52" s="117"/>
      <c r="AB52" s="162"/>
      <c r="AC52" s="117"/>
      <c r="AD52" s="409"/>
      <c r="AE52" s="419"/>
      <c r="AF52" s="162"/>
    </row>
    <row r="53" spans="2:32" x14ac:dyDescent="0.25">
      <c r="B53" s="421"/>
      <c r="D53" s="166" t="s">
        <v>154</v>
      </c>
      <c r="E53" s="162"/>
      <c r="F53" s="323">
        <v>14998</v>
      </c>
      <c r="G53" s="117"/>
      <c r="H53" s="323"/>
      <c r="I53" s="117"/>
      <c r="J53" s="323">
        <v>20</v>
      </c>
      <c r="K53" s="117"/>
      <c r="L53" s="323"/>
      <c r="M53" s="117"/>
      <c r="N53" s="323"/>
      <c r="O53" s="117"/>
      <c r="P53" s="162">
        <f t="shared" ref="P53:P55" si="17">F53+J53-L53-N53+H53</f>
        <v>15018</v>
      </c>
      <c r="Q53" s="117"/>
      <c r="R53" s="323">
        <v>14329</v>
      </c>
      <c r="S53" s="117"/>
      <c r="T53" s="323"/>
      <c r="U53" s="117"/>
      <c r="V53" s="323">
        <v>43</v>
      </c>
      <c r="W53" s="117"/>
      <c r="X53" s="323"/>
      <c r="Y53" s="117"/>
      <c r="Z53" s="162">
        <f>R53+V53-X53+T53</f>
        <v>14372</v>
      </c>
      <c r="AA53" s="117"/>
      <c r="AB53" s="162">
        <f>P53-Z53</f>
        <v>646</v>
      </c>
      <c r="AC53" s="117"/>
      <c r="AD53" s="409">
        <f>F53-R53</f>
        <v>669</v>
      </c>
      <c r="AE53" s="419"/>
      <c r="AF53" s="162"/>
    </row>
    <row r="54" spans="2:32" x14ac:dyDescent="0.25">
      <c r="B54" s="317"/>
      <c r="D54" s="166" t="s">
        <v>350</v>
      </c>
      <c r="E54" s="162"/>
      <c r="F54" s="323">
        <v>0</v>
      </c>
      <c r="G54" s="117"/>
      <c r="H54" s="323"/>
      <c r="I54" s="117"/>
      <c r="J54" s="323"/>
      <c r="K54" s="117"/>
      <c r="L54" s="323"/>
      <c r="M54" s="117"/>
      <c r="N54" s="323"/>
      <c r="O54" s="117"/>
      <c r="P54" s="162">
        <f t="shared" si="17"/>
        <v>0</v>
      </c>
      <c r="Q54" s="117"/>
      <c r="R54" s="323">
        <v>0</v>
      </c>
      <c r="S54" s="117"/>
      <c r="T54" s="323"/>
      <c r="U54" s="117"/>
      <c r="V54" s="323"/>
      <c r="W54" s="117"/>
      <c r="X54" s="323"/>
      <c r="Y54" s="117"/>
      <c r="Z54" s="162">
        <f>R54+V54-X54+T54</f>
        <v>0</v>
      </c>
      <c r="AA54" s="117"/>
      <c r="AB54" s="162">
        <f>P54-Z54</f>
        <v>0</v>
      </c>
      <c r="AC54" s="117"/>
      <c r="AD54" s="409">
        <f>F54-R54</f>
        <v>0</v>
      </c>
      <c r="AE54" s="419"/>
      <c r="AF54" s="162"/>
    </row>
    <row r="55" spans="2:32" x14ac:dyDescent="0.25">
      <c r="B55" s="317"/>
      <c r="D55" s="166" t="s">
        <v>344</v>
      </c>
      <c r="E55" s="162"/>
      <c r="F55" s="323">
        <v>0</v>
      </c>
      <c r="G55" s="117"/>
      <c r="H55" s="323"/>
      <c r="I55" s="117"/>
      <c r="J55" s="323"/>
      <c r="K55" s="117"/>
      <c r="L55" s="323"/>
      <c r="M55" s="117"/>
      <c r="N55" s="323"/>
      <c r="O55" s="117"/>
      <c r="P55" s="162">
        <f t="shared" si="17"/>
        <v>0</v>
      </c>
      <c r="Q55" s="117"/>
      <c r="R55" s="323">
        <v>0</v>
      </c>
      <c r="S55" s="117"/>
      <c r="T55" s="323"/>
      <c r="U55" s="117"/>
      <c r="V55" s="323"/>
      <c r="W55" s="117"/>
      <c r="X55" s="323"/>
      <c r="Y55" s="117"/>
      <c r="Z55" s="162">
        <f>R55+V55-X55+T55</f>
        <v>0</v>
      </c>
      <c r="AA55" s="117"/>
      <c r="AB55" s="162">
        <f>P55-Z55</f>
        <v>0</v>
      </c>
      <c r="AC55" s="117"/>
      <c r="AD55" s="409">
        <f>F55-R55</f>
        <v>0</v>
      </c>
      <c r="AE55" s="419"/>
      <c r="AF55" s="162"/>
    </row>
    <row r="56" spans="2:32" x14ac:dyDescent="0.25">
      <c r="B56" s="317"/>
      <c r="D56" s="167" t="s">
        <v>345</v>
      </c>
      <c r="E56" s="162"/>
      <c r="F56" s="323">
        <v>0</v>
      </c>
      <c r="G56" s="117"/>
      <c r="H56" s="323"/>
      <c r="I56" s="117"/>
      <c r="J56" s="323"/>
      <c r="K56" s="117"/>
      <c r="L56" s="323"/>
      <c r="M56" s="117"/>
      <c r="N56" s="323"/>
      <c r="O56" s="117"/>
      <c r="P56" s="162">
        <f>F56+J56-L56-N56+H56</f>
        <v>0</v>
      </c>
      <c r="Q56" s="117"/>
      <c r="R56" s="323">
        <v>0</v>
      </c>
      <c r="S56" s="117"/>
      <c r="T56" s="323"/>
      <c r="U56" s="117"/>
      <c r="V56" s="323"/>
      <c r="W56" s="117"/>
      <c r="X56" s="323"/>
      <c r="Y56" s="117"/>
      <c r="Z56" s="162">
        <f>R56+V56-X56+T56</f>
        <v>0</v>
      </c>
      <c r="AA56" s="117"/>
      <c r="AB56" s="162">
        <f>P56-Z56</f>
        <v>0</v>
      </c>
      <c r="AC56" s="117"/>
      <c r="AD56" s="409">
        <f>F56-R56</f>
        <v>0</v>
      </c>
      <c r="AE56" s="419"/>
      <c r="AF56" s="162"/>
    </row>
    <row r="57" spans="2:32" x14ac:dyDescent="0.25">
      <c r="B57" s="317"/>
      <c r="D57" s="166"/>
      <c r="E57" s="162"/>
      <c r="F57" s="305">
        <f>SUM(F53:F56)</f>
        <v>14998</v>
      </c>
      <c r="G57" s="117"/>
      <c r="H57" s="305">
        <f>SUM(H53:H56)</f>
        <v>0</v>
      </c>
      <c r="I57" s="117"/>
      <c r="J57" s="305">
        <f>SUM(J53:J56)</f>
        <v>20</v>
      </c>
      <c r="K57" s="117"/>
      <c r="L57" s="305">
        <f>SUM(L53:L56)</f>
        <v>0</v>
      </c>
      <c r="M57" s="117"/>
      <c r="N57" s="305">
        <f>SUM(N53:N56)</f>
        <v>0</v>
      </c>
      <c r="O57" s="117"/>
      <c r="P57" s="305">
        <f>SUM(P53:P56)</f>
        <v>15018</v>
      </c>
      <c r="Q57" s="117"/>
      <c r="R57" s="305">
        <f>SUM(R53:R56)</f>
        <v>14329</v>
      </c>
      <c r="S57" s="117"/>
      <c r="T57" s="305">
        <f>SUM(T53:T56)</f>
        <v>0</v>
      </c>
      <c r="U57" s="117"/>
      <c r="V57" s="305">
        <f>SUM(V53:V56)</f>
        <v>43</v>
      </c>
      <c r="W57" s="117"/>
      <c r="X57" s="305">
        <f>SUM(X53:X56)</f>
        <v>0</v>
      </c>
      <c r="Y57" s="117"/>
      <c r="Z57" s="305">
        <f>SUM(Z53:Z56)</f>
        <v>14372</v>
      </c>
      <c r="AA57" s="117"/>
      <c r="AB57" s="305">
        <f>SUM(AB53:AB56)</f>
        <v>646</v>
      </c>
      <c r="AC57" s="117"/>
      <c r="AD57" s="410">
        <f>SUM(AD53:AD56)</f>
        <v>669</v>
      </c>
      <c r="AE57" s="419"/>
      <c r="AF57" s="162"/>
    </row>
    <row r="58" spans="2:32" x14ac:dyDescent="0.25">
      <c r="B58" s="317"/>
      <c r="D58" s="166"/>
      <c r="E58" s="162"/>
      <c r="F58" s="117"/>
      <c r="G58" s="117"/>
      <c r="H58" s="117"/>
      <c r="I58" s="117"/>
      <c r="J58" s="117"/>
      <c r="K58" s="117"/>
      <c r="L58" s="117"/>
      <c r="M58" s="117"/>
      <c r="N58" s="117"/>
      <c r="O58" s="117"/>
      <c r="P58" s="162"/>
      <c r="Q58" s="117"/>
      <c r="R58" s="117"/>
      <c r="S58" s="117"/>
      <c r="T58" s="117"/>
      <c r="U58" s="117"/>
      <c r="V58" s="117"/>
      <c r="W58" s="117"/>
      <c r="X58" s="117"/>
      <c r="Y58" s="117"/>
      <c r="Z58" s="162"/>
      <c r="AA58" s="117"/>
      <c r="AB58" s="162"/>
      <c r="AC58" s="117"/>
      <c r="AD58" s="409"/>
      <c r="AE58" s="419"/>
      <c r="AF58" s="162"/>
    </row>
    <row r="59" spans="2:32" x14ac:dyDescent="0.25">
      <c r="B59" s="421" t="s">
        <v>294</v>
      </c>
      <c r="D59" s="166" t="s">
        <v>358</v>
      </c>
      <c r="E59" s="162"/>
      <c r="F59" s="323"/>
      <c r="G59" s="117"/>
      <c r="H59" s="323"/>
      <c r="I59" s="117"/>
      <c r="J59" s="323"/>
      <c r="K59" s="117"/>
      <c r="L59" s="323"/>
      <c r="M59" s="117"/>
      <c r="N59" s="323"/>
      <c r="O59" s="117"/>
      <c r="P59" s="162">
        <f t="shared" ref="P59:P61" si="18">F59+J59-L59-N59+H59</f>
        <v>0</v>
      </c>
      <c r="Q59" s="117"/>
      <c r="R59" s="323">
        <v>0</v>
      </c>
      <c r="S59" s="117"/>
      <c r="T59" s="323"/>
      <c r="U59" s="117"/>
      <c r="V59" s="323"/>
      <c r="W59" s="117"/>
      <c r="X59" s="323"/>
      <c r="Y59" s="117"/>
      <c r="Z59" s="162">
        <f t="shared" ref="Z59:Z61" si="19">R59+V59-X59+T59</f>
        <v>0</v>
      </c>
      <c r="AA59" s="117"/>
      <c r="AB59" s="162">
        <f t="shared" ref="AB59:AB61" si="20">P59-Z59</f>
        <v>0</v>
      </c>
      <c r="AC59" s="117"/>
      <c r="AD59" s="409">
        <f t="shared" ref="AD59:AD61" si="21">F59-R59</f>
        <v>0</v>
      </c>
      <c r="AE59" s="419"/>
      <c r="AF59" s="162"/>
    </row>
    <row r="60" spans="2:32" x14ac:dyDescent="0.25">
      <c r="B60" s="421"/>
      <c r="D60" s="166" t="s">
        <v>359</v>
      </c>
      <c r="E60" s="162"/>
      <c r="F60" s="323"/>
      <c r="G60" s="117"/>
      <c r="H60" s="323"/>
      <c r="I60" s="117"/>
      <c r="J60" s="323"/>
      <c r="K60" s="117"/>
      <c r="L60" s="323"/>
      <c r="M60" s="117"/>
      <c r="N60" s="323"/>
      <c r="O60" s="117"/>
      <c r="P60" s="162">
        <f t="shared" si="18"/>
        <v>0</v>
      </c>
      <c r="Q60" s="117"/>
      <c r="R60" s="323"/>
      <c r="S60" s="117"/>
      <c r="T60" s="323"/>
      <c r="U60" s="117"/>
      <c r="V60" s="323"/>
      <c r="W60" s="117"/>
      <c r="X60" s="323"/>
      <c r="Y60" s="117"/>
      <c r="Z60" s="162">
        <f t="shared" si="19"/>
        <v>0</v>
      </c>
      <c r="AA60" s="117"/>
      <c r="AB60" s="162">
        <f t="shared" si="20"/>
        <v>0</v>
      </c>
      <c r="AC60" s="117"/>
      <c r="AD60" s="409">
        <f t="shared" si="21"/>
        <v>0</v>
      </c>
      <c r="AE60" s="419"/>
      <c r="AF60" s="162"/>
    </row>
    <row r="61" spans="2:32" x14ac:dyDescent="0.25">
      <c r="B61" s="421"/>
      <c r="D61" s="166" t="s">
        <v>360</v>
      </c>
      <c r="E61" s="162"/>
      <c r="F61" s="323">
        <v>17140</v>
      </c>
      <c r="G61" s="117"/>
      <c r="H61" s="323"/>
      <c r="I61" s="117"/>
      <c r="J61" s="323">
        <v>4773</v>
      </c>
      <c r="K61" s="117"/>
      <c r="L61" s="323"/>
      <c r="M61" s="117"/>
      <c r="N61" s="323"/>
      <c r="O61" s="117"/>
      <c r="P61" s="162">
        <f t="shared" si="18"/>
        <v>21913</v>
      </c>
      <c r="Q61" s="117"/>
      <c r="R61" s="323">
        <v>4508</v>
      </c>
      <c r="S61" s="117"/>
      <c r="T61" s="323"/>
      <c r="U61" s="117"/>
      <c r="V61" s="323">
        <v>2778</v>
      </c>
      <c r="W61" s="117"/>
      <c r="X61" s="323"/>
      <c r="Y61" s="117"/>
      <c r="Z61" s="162">
        <f t="shared" si="19"/>
        <v>7286</v>
      </c>
      <c r="AA61" s="117"/>
      <c r="AB61" s="162">
        <f t="shared" si="20"/>
        <v>14627</v>
      </c>
      <c r="AC61" s="117"/>
      <c r="AD61" s="409">
        <f t="shared" si="21"/>
        <v>12632</v>
      </c>
      <c r="AE61" s="419"/>
      <c r="AF61" s="162"/>
    </row>
    <row r="62" spans="2:32" x14ac:dyDescent="0.25">
      <c r="B62" s="317"/>
      <c r="C62" s="288"/>
      <c r="D62" s="166"/>
      <c r="E62" s="162"/>
      <c r="F62" s="305">
        <f>SUM(F59:F61)</f>
        <v>17140</v>
      </c>
      <c r="G62" s="117"/>
      <c r="H62" s="305">
        <f>SUM(H59:H61)</f>
        <v>0</v>
      </c>
      <c r="I62" s="117"/>
      <c r="J62" s="305">
        <f>SUM(J59:J61)</f>
        <v>4773</v>
      </c>
      <c r="K62" s="117"/>
      <c r="L62" s="305">
        <f>SUM(L59:L61)</f>
        <v>0</v>
      </c>
      <c r="M62" s="117"/>
      <c r="N62" s="305">
        <f>SUM(N59:N61)</f>
        <v>0</v>
      </c>
      <c r="O62" s="117"/>
      <c r="P62" s="305">
        <f>SUM(P59:P61)</f>
        <v>21913</v>
      </c>
      <c r="Q62" s="117"/>
      <c r="R62" s="305">
        <f>SUM(R59:R61)</f>
        <v>4508</v>
      </c>
      <c r="S62" s="117"/>
      <c r="T62" s="305">
        <f>SUM(T59:T61)</f>
        <v>0</v>
      </c>
      <c r="U62" s="117"/>
      <c r="V62" s="305">
        <f>SUM(V59:V61)</f>
        <v>2778</v>
      </c>
      <c r="W62" s="117"/>
      <c r="X62" s="305">
        <f>SUM(X59:X61)</f>
        <v>0</v>
      </c>
      <c r="Y62" s="117"/>
      <c r="Z62" s="305">
        <f>SUM(Z59:Z61)</f>
        <v>7286</v>
      </c>
      <c r="AA62" s="117"/>
      <c r="AB62" s="305">
        <f>SUM(AB59:AB61)</f>
        <v>14627</v>
      </c>
      <c r="AC62" s="117"/>
      <c r="AD62" s="410">
        <f>SUM(AD59:AD61)</f>
        <v>12632</v>
      </c>
      <c r="AE62" s="419"/>
      <c r="AF62" s="162"/>
    </row>
    <row r="63" spans="2:32" x14ac:dyDescent="0.25">
      <c r="B63" s="421" t="s">
        <v>361</v>
      </c>
      <c r="D63" s="166"/>
      <c r="E63" s="162"/>
      <c r="F63" s="117"/>
      <c r="G63" s="117"/>
      <c r="H63" s="117"/>
      <c r="I63" s="117"/>
      <c r="J63" s="117"/>
      <c r="K63" s="117"/>
      <c r="L63" s="117"/>
      <c r="M63" s="117"/>
      <c r="N63" s="117"/>
      <c r="O63" s="117"/>
      <c r="P63" s="162"/>
      <c r="Q63" s="117"/>
      <c r="R63" s="117"/>
      <c r="S63" s="117"/>
      <c r="T63" s="117"/>
      <c r="U63" s="117"/>
      <c r="V63" s="117"/>
      <c r="W63" s="117"/>
      <c r="X63" s="117"/>
      <c r="Y63" s="117"/>
      <c r="Z63" s="162"/>
      <c r="AA63" s="117"/>
      <c r="AB63" s="162"/>
      <c r="AC63" s="117"/>
      <c r="AD63" s="409"/>
      <c r="AE63" s="419"/>
      <c r="AF63" s="162"/>
    </row>
    <row r="64" spans="2:32" x14ac:dyDescent="0.25">
      <c r="B64" s="421"/>
      <c r="C64" s="288"/>
      <c r="D64" s="166" t="s">
        <v>362</v>
      </c>
      <c r="E64" s="162"/>
      <c r="F64" s="323"/>
      <c r="G64" s="117"/>
      <c r="H64" s="323"/>
      <c r="I64" s="117"/>
      <c r="J64" s="323"/>
      <c r="K64" s="117"/>
      <c r="L64" s="323"/>
      <c r="M64" s="117"/>
      <c r="N64" s="323"/>
      <c r="O64" s="117"/>
      <c r="P64" s="162">
        <f>F64+J64-L64-N64+H64</f>
        <v>0</v>
      </c>
      <c r="Q64" s="117"/>
      <c r="R64" s="323"/>
      <c r="S64" s="117"/>
      <c r="T64" s="323"/>
      <c r="U64" s="117"/>
      <c r="V64" s="323"/>
      <c r="W64" s="117"/>
      <c r="X64" s="323"/>
      <c r="Y64" s="117"/>
      <c r="Z64" s="162">
        <f>R64+V64-X64+T64</f>
        <v>0</v>
      </c>
      <c r="AA64" s="117"/>
      <c r="AB64" s="162">
        <f>P64-Z64</f>
        <v>0</v>
      </c>
      <c r="AC64" s="117"/>
      <c r="AD64" s="409">
        <f>F64-R64</f>
        <v>0</v>
      </c>
      <c r="AE64" s="419"/>
      <c r="AF64" s="162"/>
    </row>
    <row r="65" spans="2:32" x14ac:dyDescent="0.25">
      <c r="B65" s="317"/>
      <c r="C65" s="288"/>
      <c r="D65" s="167" t="s">
        <v>363</v>
      </c>
      <c r="E65" s="162"/>
      <c r="F65" s="323">
        <v>283</v>
      </c>
      <c r="G65" s="117"/>
      <c r="H65" s="323"/>
      <c r="I65" s="117"/>
      <c r="J65" s="323"/>
      <c r="K65" s="117"/>
      <c r="L65" s="323"/>
      <c r="M65" s="117"/>
      <c r="N65" s="323"/>
      <c r="O65" s="117"/>
      <c r="P65" s="162">
        <f>F65+J65-L65-N65+H65</f>
        <v>283</v>
      </c>
      <c r="Q65" s="117"/>
      <c r="R65" s="323">
        <v>232</v>
      </c>
      <c r="S65" s="117"/>
      <c r="T65" s="323"/>
      <c r="U65" s="117"/>
      <c r="V65" s="323">
        <v>3</v>
      </c>
      <c r="W65" s="117"/>
      <c r="X65" s="323"/>
      <c r="Y65" s="117"/>
      <c r="Z65" s="162">
        <f>R65+V65-X65+T65</f>
        <v>235</v>
      </c>
      <c r="AA65" s="117"/>
      <c r="AB65" s="162">
        <f>P65-Z65</f>
        <v>48</v>
      </c>
      <c r="AC65" s="117"/>
      <c r="AD65" s="409">
        <f>F65-R65</f>
        <v>51</v>
      </c>
      <c r="AE65" s="419"/>
      <c r="AF65" s="162"/>
    </row>
    <row r="66" spans="2:32" x14ac:dyDescent="0.25">
      <c r="B66" s="317"/>
      <c r="C66" s="288"/>
      <c r="D66" s="167" t="s">
        <v>9</v>
      </c>
      <c r="E66" s="162"/>
      <c r="F66" s="323"/>
      <c r="G66" s="117"/>
      <c r="H66" s="323"/>
      <c r="I66" s="117"/>
      <c r="J66" s="323"/>
      <c r="K66" s="117"/>
      <c r="L66" s="323"/>
      <c r="M66" s="117"/>
      <c r="N66" s="323"/>
      <c r="O66" s="117"/>
      <c r="P66" s="162">
        <f>F66+J66-L66-N66+H66</f>
        <v>0</v>
      </c>
      <c r="Q66" s="117"/>
      <c r="R66" s="323"/>
      <c r="S66" s="117"/>
      <c r="T66" s="323"/>
      <c r="U66" s="117"/>
      <c r="V66" s="323"/>
      <c r="W66" s="117"/>
      <c r="X66" s="323"/>
      <c r="Y66" s="117"/>
      <c r="Z66" s="162">
        <f>R66+V66-X66+T66</f>
        <v>0</v>
      </c>
      <c r="AA66" s="117"/>
      <c r="AB66" s="162">
        <f>P66-Z66</f>
        <v>0</v>
      </c>
      <c r="AC66" s="117"/>
      <c r="AD66" s="409">
        <f>F66-R66</f>
        <v>0</v>
      </c>
      <c r="AE66" s="419"/>
      <c r="AF66" s="162"/>
    </row>
    <row r="67" spans="2:32" x14ac:dyDescent="0.25">
      <c r="B67" s="317"/>
      <c r="C67" s="288"/>
      <c r="D67" s="167" t="s">
        <v>9</v>
      </c>
      <c r="E67" s="162"/>
      <c r="F67" s="323"/>
      <c r="G67" s="117"/>
      <c r="H67" s="323"/>
      <c r="I67" s="117"/>
      <c r="J67" s="323"/>
      <c r="K67" s="117"/>
      <c r="L67" s="323"/>
      <c r="M67" s="117"/>
      <c r="N67" s="323"/>
      <c r="O67" s="117"/>
      <c r="P67" s="162">
        <f>F67+J67-L67-N67+H67</f>
        <v>0</v>
      </c>
      <c r="Q67" s="117"/>
      <c r="R67" s="323"/>
      <c r="S67" s="117"/>
      <c r="T67" s="323"/>
      <c r="U67" s="117"/>
      <c r="V67" s="323"/>
      <c r="W67" s="117"/>
      <c r="X67" s="323"/>
      <c r="Y67" s="117"/>
      <c r="Z67" s="162">
        <f>R67+V67-X67+T67</f>
        <v>0</v>
      </c>
      <c r="AA67" s="117"/>
      <c r="AB67" s="162">
        <f>P67-Z67</f>
        <v>0</v>
      </c>
      <c r="AC67" s="117"/>
      <c r="AD67" s="409">
        <f>F67-R67</f>
        <v>0</v>
      </c>
      <c r="AE67" s="419"/>
      <c r="AF67" s="162"/>
    </row>
    <row r="68" spans="2:32" x14ac:dyDescent="0.25">
      <c r="B68" s="317"/>
      <c r="C68" s="288"/>
      <c r="D68" s="166"/>
      <c r="E68" s="162"/>
      <c r="F68" s="305">
        <f>SUM(F64:F67)</f>
        <v>283</v>
      </c>
      <c r="G68" s="117"/>
      <c r="H68" s="305">
        <f>SUM(H64:H67)</f>
        <v>0</v>
      </c>
      <c r="I68" s="117"/>
      <c r="J68" s="305">
        <f>SUM(J64:J67)</f>
        <v>0</v>
      </c>
      <c r="K68" s="117"/>
      <c r="L68" s="305">
        <f>SUM(L64:L67)</f>
        <v>0</v>
      </c>
      <c r="M68" s="117"/>
      <c r="N68" s="305">
        <f>SUM(N64:N67)</f>
        <v>0</v>
      </c>
      <c r="O68" s="117"/>
      <c r="P68" s="305">
        <f>SUM(P64:P67)</f>
        <v>283</v>
      </c>
      <c r="Q68" s="117"/>
      <c r="R68" s="305">
        <f>SUM(R64:R67)</f>
        <v>232</v>
      </c>
      <c r="S68" s="117"/>
      <c r="T68" s="305">
        <f>SUM(T64:T67)</f>
        <v>0</v>
      </c>
      <c r="U68" s="117"/>
      <c r="V68" s="305">
        <f>SUM(V64:V67)</f>
        <v>3</v>
      </c>
      <c r="W68" s="117"/>
      <c r="X68" s="305">
        <f>SUM(X64:X67)</f>
        <v>0</v>
      </c>
      <c r="Y68" s="117"/>
      <c r="Z68" s="305">
        <f>SUM(Z64:Z67)</f>
        <v>235</v>
      </c>
      <c r="AA68" s="117"/>
      <c r="AB68" s="305">
        <f>SUM(AB64:AB67)</f>
        <v>48</v>
      </c>
      <c r="AC68" s="117"/>
      <c r="AD68" s="410">
        <f>SUM(AD64:AD67)</f>
        <v>51</v>
      </c>
      <c r="AE68" s="419"/>
      <c r="AF68" s="162"/>
    </row>
    <row r="69" spans="2:32" x14ac:dyDescent="0.25">
      <c r="B69" s="317"/>
      <c r="D69" s="166"/>
      <c r="E69" s="162"/>
      <c r="F69" s="117"/>
      <c r="G69" s="117"/>
      <c r="H69" s="117"/>
      <c r="I69" s="117"/>
      <c r="J69" s="117"/>
      <c r="K69" s="117"/>
      <c r="L69" s="117"/>
      <c r="M69" s="117"/>
      <c r="N69" s="117"/>
      <c r="O69" s="117"/>
      <c r="P69" s="162"/>
      <c r="Q69" s="117"/>
      <c r="R69" s="117"/>
      <c r="S69" s="117"/>
      <c r="T69" s="117"/>
      <c r="U69" s="117"/>
      <c r="V69" s="117"/>
      <c r="W69" s="117"/>
      <c r="X69" s="117"/>
      <c r="Y69" s="117"/>
      <c r="Z69" s="162"/>
      <c r="AA69" s="117"/>
      <c r="AB69" s="162"/>
      <c r="AC69" s="117"/>
      <c r="AD69" s="409"/>
      <c r="AE69" s="419"/>
      <c r="AF69" s="162"/>
    </row>
    <row r="70" spans="2:32" x14ac:dyDescent="0.25">
      <c r="B70" s="421" t="s">
        <v>364</v>
      </c>
      <c r="D70" s="166"/>
      <c r="E70" s="162"/>
      <c r="F70" s="117"/>
      <c r="G70" s="117"/>
      <c r="H70" s="117"/>
      <c r="I70" s="117"/>
      <c r="J70" s="117"/>
      <c r="K70" s="117"/>
      <c r="L70" s="117"/>
      <c r="M70" s="117"/>
      <c r="N70" s="117"/>
      <c r="O70" s="117"/>
      <c r="P70" s="162"/>
      <c r="Q70" s="117"/>
      <c r="R70" s="117"/>
      <c r="S70" s="117"/>
      <c r="T70" s="117"/>
      <c r="U70" s="117"/>
      <c r="V70" s="117"/>
      <c r="W70" s="117"/>
      <c r="X70" s="117"/>
      <c r="Y70" s="117"/>
      <c r="Z70" s="162"/>
      <c r="AA70" s="117"/>
      <c r="AB70" s="162"/>
      <c r="AC70" s="117"/>
      <c r="AD70" s="409"/>
      <c r="AE70" s="419"/>
      <c r="AF70" s="162"/>
    </row>
    <row r="71" spans="2:32" x14ac:dyDescent="0.25">
      <c r="B71" s="421"/>
      <c r="C71" s="288"/>
      <c r="D71" s="166" t="s">
        <v>365</v>
      </c>
      <c r="E71" s="162"/>
      <c r="F71" s="323">
        <v>806</v>
      </c>
      <c r="G71" s="117"/>
      <c r="H71" s="323"/>
      <c r="I71" s="117"/>
      <c r="J71" s="323">
        <v>21</v>
      </c>
      <c r="K71" s="117"/>
      <c r="L71" s="323"/>
      <c r="M71" s="117"/>
      <c r="N71" s="323"/>
      <c r="O71" s="117"/>
      <c r="P71" s="162">
        <f>F71+J71-L71-N71+H71</f>
        <v>827</v>
      </c>
      <c r="Q71" s="117"/>
      <c r="R71" s="323">
        <v>562</v>
      </c>
      <c r="S71" s="117"/>
      <c r="T71" s="323"/>
      <c r="U71" s="117"/>
      <c r="V71" s="323">
        <v>71</v>
      </c>
      <c r="W71" s="117"/>
      <c r="X71" s="323"/>
      <c r="Y71" s="117"/>
      <c r="Z71" s="162">
        <f>R71+V71-X71+T71</f>
        <v>633</v>
      </c>
      <c r="AA71" s="117"/>
      <c r="AB71" s="162">
        <f>P71-Z71</f>
        <v>194</v>
      </c>
      <c r="AC71" s="117"/>
      <c r="AD71" s="409">
        <f>F71-R71</f>
        <v>244</v>
      </c>
      <c r="AE71" s="419"/>
      <c r="AF71" s="162"/>
    </row>
    <row r="72" spans="2:32" x14ac:dyDescent="0.25">
      <c r="B72" s="317"/>
      <c r="C72" s="288"/>
      <c r="D72" s="166" t="s">
        <v>296</v>
      </c>
      <c r="E72" s="162"/>
      <c r="F72" s="323"/>
      <c r="G72" s="117"/>
      <c r="H72" s="323"/>
      <c r="I72" s="117"/>
      <c r="J72" s="323"/>
      <c r="K72" s="117"/>
      <c r="L72" s="323"/>
      <c r="M72" s="117"/>
      <c r="N72" s="323"/>
      <c r="O72" s="117"/>
      <c r="P72" s="162">
        <f>F72+J72-L72-N72+H72</f>
        <v>0</v>
      </c>
      <c r="Q72" s="117"/>
      <c r="R72" s="323"/>
      <c r="S72" s="117"/>
      <c r="T72" s="323"/>
      <c r="U72" s="117"/>
      <c r="V72" s="323"/>
      <c r="W72" s="117"/>
      <c r="X72" s="323"/>
      <c r="Y72" s="117"/>
      <c r="Z72" s="162">
        <f>R72+V72-X72+T72</f>
        <v>0</v>
      </c>
      <c r="AA72" s="117"/>
      <c r="AB72" s="162">
        <f>P72-Z72</f>
        <v>0</v>
      </c>
      <c r="AC72" s="117"/>
      <c r="AD72" s="409">
        <f>F72-R72</f>
        <v>0</v>
      </c>
      <c r="AE72" s="419"/>
      <c r="AF72" s="162"/>
    </row>
    <row r="73" spans="2:32" x14ac:dyDescent="0.25">
      <c r="B73" s="317"/>
      <c r="C73" s="288"/>
      <c r="D73" s="167" t="s">
        <v>366</v>
      </c>
      <c r="E73" s="162"/>
      <c r="F73" s="323"/>
      <c r="G73" s="117"/>
      <c r="H73" s="323"/>
      <c r="I73" s="117"/>
      <c r="J73" s="323"/>
      <c r="K73" s="117"/>
      <c r="L73" s="323"/>
      <c r="M73" s="117"/>
      <c r="N73" s="323"/>
      <c r="O73" s="117"/>
      <c r="P73" s="162">
        <f>F73+J73-L73-N73+H73</f>
        <v>0</v>
      </c>
      <c r="Q73" s="117"/>
      <c r="R73" s="323"/>
      <c r="S73" s="117"/>
      <c r="T73" s="323"/>
      <c r="U73" s="117"/>
      <c r="V73" s="323"/>
      <c r="W73" s="117"/>
      <c r="X73" s="323"/>
      <c r="Y73" s="117"/>
      <c r="Z73" s="162">
        <f>R73+V73-X73+T73</f>
        <v>0</v>
      </c>
      <c r="AA73" s="117"/>
      <c r="AB73" s="162">
        <f>P73-Z73</f>
        <v>0</v>
      </c>
      <c r="AC73" s="117"/>
      <c r="AD73" s="409">
        <f>F73-R73</f>
        <v>0</v>
      </c>
      <c r="AE73" s="419"/>
      <c r="AF73" s="162"/>
    </row>
    <row r="74" spans="2:32" x14ac:dyDescent="0.25">
      <c r="B74" s="317"/>
      <c r="C74" s="288"/>
      <c r="D74" s="167" t="s">
        <v>9</v>
      </c>
      <c r="E74" s="162"/>
      <c r="F74" s="323"/>
      <c r="G74" s="117"/>
      <c r="H74" s="323"/>
      <c r="I74" s="117"/>
      <c r="J74" s="323"/>
      <c r="K74" s="117"/>
      <c r="L74" s="323"/>
      <c r="M74" s="117"/>
      <c r="N74" s="323"/>
      <c r="O74" s="117"/>
      <c r="P74" s="162">
        <f>F74+J74-L74-N74+H74</f>
        <v>0</v>
      </c>
      <c r="Q74" s="117"/>
      <c r="R74" s="323"/>
      <c r="S74" s="117"/>
      <c r="T74" s="323"/>
      <c r="U74" s="117"/>
      <c r="V74" s="323"/>
      <c r="W74" s="117"/>
      <c r="X74" s="323"/>
      <c r="Y74" s="117"/>
      <c r="Z74" s="162">
        <f>R74+V74-X74+T74</f>
        <v>0</v>
      </c>
      <c r="AA74" s="117"/>
      <c r="AB74" s="162">
        <f>P74-Z74</f>
        <v>0</v>
      </c>
      <c r="AC74" s="117"/>
      <c r="AD74" s="409">
        <f>F74-R74</f>
        <v>0</v>
      </c>
      <c r="AE74" s="419"/>
      <c r="AF74" s="162"/>
    </row>
    <row r="75" spans="2:32" x14ac:dyDescent="0.25">
      <c r="B75" s="317"/>
      <c r="C75" s="288"/>
      <c r="D75" s="166"/>
      <c r="E75" s="162"/>
      <c r="F75" s="305">
        <f>SUM(F71:F74)</f>
        <v>806</v>
      </c>
      <c r="G75" s="117"/>
      <c r="H75" s="305">
        <f>SUM(H71:H74)</f>
        <v>0</v>
      </c>
      <c r="I75" s="117"/>
      <c r="J75" s="305">
        <f>SUM(J71:J74)</f>
        <v>21</v>
      </c>
      <c r="K75" s="117"/>
      <c r="L75" s="305">
        <f>SUM(L71:L74)</f>
        <v>0</v>
      </c>
      <c r="M75" s="117"/>
      <c r="N75" s="305">
        <f>SUM(N71:N74)</f>
        <v>0</v>
      </c>
      <c r="O75" s="117"/>
      <c r="P75" s="305">
        <f>SUM(P71:P74)</f>
        <v>827</v>
      </c>
      <c r="Q75" s="117"/>
      <c r="R75" s="305">
        <f>SUM(R71:R74)</f>
        <v>562</v>
      </c>
      <c r="S75" s="117"/>
      <c r="T75" s="305">
        <f>SUM(T71:T74)</f>
        <v>0</v>
      </c>
      <c r="U75" s="117"/>
      <c r="V75" s="305">
        <f>SUM(V71:V74)</f>
        <v>71</v>
      </c>
      <c r="W75" s="117"/>
      <c r="X75" s="305">
        <f>SUM(X71:X74)</f>
        <v>0</v>
      </c>
      <c r="Y75" s="117"/>
      <c r="Z75" s="305">
        <f>SUM(Z71:Z74)</f>
        <v>633</v>
      </c>
      <c r="AA75" s="117"/>
      <c r="AB75" s="305">
        <f>SUM(AB71:AB74)</f>
        <v>194</v>
      </c>
      <c r="AC75" s="117"/>
      <c r="AD75" s="410">
        <f>SUM(AD71:AD74)</f>
        <v>244</v>
      </c>
      <c r="AE75" s="419"/>
      <c r="AF75" s="162"/>
    </row>
    <row r="76" spans="2:32" x14ac:dyDescent="0.25">
      <c r="B76" s="426"/>
      <c r="C76" s="411"/>
      <c r="D76" s="412"/>
      <c r="E76" s="413"/>
      <c r="F76" s="414"/>
      <c r="G76" s="414"/>
      <c r="H76" s="414"/>
      <c r="I76" s="414"/>
      <c r="J76" s="414"/>
      <c r="K76" s="414"/>
      <c r="L76" s="414"/>
      <c r="M76" s="414"/>
      <c r="N76" s="414"/>
      <c r="O76" s="414"/>
      <c r="P76" s="413"/>
      <c r="Q76" s="414"/>
      <c r="R76" s="414"/>
      <c r="S76" s="414"/>
      <c r="T76" s="414"/>
      <c r="U76" s="414"/>
      <c r="V76" s="414"/>
      <c r="W76" s="414"/>
      <c r="X76" s="414"/>
      <c r="Y76" s="414"/>
      <c r="Z76" s="413"/>
      <c r="AA76" s="414"/>
      <c r="AB76" s="413"/>
      <c r="AC76" s="414"/>
      <c r="AD76" s="415"/>
      <c r="AE76" s="419"/>
      <c r="AF76" s="162"/>
    </row>
    <row r="77" spans="2:32" x14ac:dyDescent="0.25">
      <c r="B77" s="317"/>
      <c r="D77" s="166"/>
      <c r="E77" s="162"/>
      <c r="F77" s="117"/>
      <c r="G77" s="117"/>
      <c r="H77" s="117"/>
      <c r="I77" s="117"/>
      <c r="J77" s="117"/>
      <c r="K77" s="117"/>
      <c r="L77" s="117"/>
      <c r="M77" s="117"/>
      <c r="N77" s="117"/>
      <c r="O77" s="117"/>
      <c r="P77" s="162"/>
      <c r="Q77" s="117"/>
      <c r="R77" s="117"/>
      <c r="S77" s="117"/>
      <c r="T77" s="117"/>
      <c r="U77" s="117"/>
      <c r="V77" s="117"/>
      <c r="W77" s="117"/>
      <c r="X77" s="117"/>
      <c r="Y77" s="117"/>
      <c r="Z77" s="162"/>
      <c r="AA77" s="117"/>
      <c r="AB77" s="162"/>
      <c r="AC77" s="162"/>
      <c r="AD77" s="162"/>
      <c r="AE77" s="419"/>
      <c r="AF77" s="162"/>
    </row>
    <row r="78" spans="2:32" s="283" customFormat="1" x14ac:dyDescent="0.25">
      <c r="B78" s="317" t="s">
        <v>138</v>
      </c>
      <c r="D78" s="166"/>
      <c r="E78" s="162"/>
      <c r="F78" s="305">
        <f>F36+F57+F68+F75+F50+F62</f>
        <v>415598</v>
      </c>
      <c r="G78" s="305"/>
      <c r="H78" s="305">
        <f>H36+H57+H68+H75+H50+H62</f>
        <v>0</v>
      </c>
      <c r="I78" s="305"/>
      <c r="J78" s="305">
        <f>J36+J57+J68+J75+J50+J62</f>
        <v>26785</v>
      </c>
      <c r="K78" s="305"/>
      <c r="L78" s="305">
        <f>L36+L57+L68+L75+L50+L62</f>
        <v>2153</v>
      </c>
      <c r="M78" s="305"/>
      <c r="N78" s="305">
        <f>N36+N57+N68+N75+N50+N62</f>
        <v>0</v>
      </c>
      <c r="O78" s="305"/>
      <c r="P78" s="305">
        <f>P36+P57+P68+P75+P50+P62</f>
        <v>440230</v>
      </c>
      <c r="Q78" s="117"/>
      <c r="R78" s="305">
        <f>R36+R57+R68+R75+R50+R62</f>
        <v>187655</v>
      </c>
      <c r="S78" s="305"/>
      <c r="T78" s="305">
        <f>T36+T57+T68+T75+T50+T62</f>
        <v>0</v>
      </c>
      <c r="U78" s="305"/>
      <c r="V78" s="305">
        <f>V36+V57+V68+V75+V50+V62</f>
        <v>13411</v>
      </c>
      <c r="W78" s="117"/>
      <c r="X78" s="305">
        <f>X36+X57+X68+X75+X50+X62</f>
        <v>0</v>
      </c>
      <c r="Y78" s="117"/>
      <c r="Z78" s="305">
        <f>Z36+Z57+Z68+Z75+Z50+Z62</f>
        <v>201066</v>
      </c>
      <c r="AA78" s="117"/>
      <c r="AB78" s="305">
        <f>AB36+AB57+AB68+AB75+AB50+AB62</f>
        <v>239164</v>
      </c>
      <c r="AC78" s="305"/>
      <c r="AD78" s="305">
        <f>AD36+AD57+AD68+AD75+AD50+AD62</f>
        <v>227943</v>
      </c>
      <c r="AE78" s="419"/>
      <c r="AF78" s="162"/>
    </row>
    <row r="79" spans="2:32" x14ac:dyDescent="0.25">
      <c r="B79" s="317"/>
      <c r="D79" s="166"/>
      <c r="E79" s="162"/>
      <c r="F79" s="117"/>
      <c r="G79" s="117"/>
      <c r="H79" s="117"/>
      <c r="I79" s="117"/>
      <c r="J79" s="117"/>
      <c r="K79" s="117"/>
      <c r="L79" s="117"/>
      <c r="M79" s="117"/>
      <c r="N79" s="117"/>
      <c r="O79" s="117"/>
      <c r="P79" s="162"/>
      <c r="Q79" s="117"/>
      <c r="R79" s="117"/>
      <c r="S79" s="117"/>
      <c r="T79" s="117"/>
      <c r="U79" s="117"/>
      <c r="V79" s="117"/>
      <c r="W79" s="117"/>
      <c r="X79" s="117"/>
      <c r="Y79" s="117"/>
      <c r="Z79" s="162"/>
      <c r="AA79" s="117"/>
      <c r="AB79" s="162"/>
      <c r="AC79" s="162"/>
      <c r="AD79" s="162"/>
      <c r="AE79" s="419"/>
      <c r="AF79" s="162"/>
    </row>
    <row r="80" spans="2:32" x14ac:dyDescent="0.25">
      <c r="B80" s="317"/>
      <c r="D80" s="166"/>
      <c r="E80" s="162"/>
      <c r="F80" s="117"/>
      <c r="G80" s="117"/>
      <c r="H80" s="117"/>
      <c r="I80" s="117"/>
      <c r="J80" s="117"/>
      <c r="K80" s="117"/>
      <c r="L80" s="117"/>
      <c r="M80" s="117"/>
      <c r="N80" s="117"/>
      <c r="O80" s="117"/>
      <c r="P80" s="162"/>
      <c r="Q80" s="117"/>
      <c r="R80" s="117"/>
      <c r="S80" s="117"/>
      <c r="T80" s="117"/>
      <c r="U80" s="117"/>
      <c r="V80" s="117"/>
      <c r="W80" s="117"/>
      <c r="X80" s="117"/>
      <c r="Y80" s="117"/>
      <c r="Z80" s="162"/>
      <c r="AA80" s="117"/>
      <c r="AB80" s="162"/>
      <c r="AC80" s="162"/>
      <c r="AD80" s="162"/>
      <c r="AE80" s="419"/>
      <c r="AF80" s="162"/>
    </row>
    <row r="81" spans="2:32" x14ac:dyDescent="0.25">
      <c r="B81" s="317"/>
      <c r="D81" s="117"/>
      <c r="E81" s="162"/>
      <c r="F81" s="117"/>
      <c r="G81" s="117"/>
      <c r="H81" s="117"/>
      <c r="I81" s="117"/>
      <c r="J81" s="117"/>
      <c r="K81" s="117"/>
      <c r="L81" s="117"/>
      <c r="M81" s="117"/>
      <c r="N81" s="117"/>
      <c r="O81" s="117"/>
      <c r="P81" s="162"/>
      <c r="Q81" s="117"/>
      <c r="R81" s="117"/>
      <c r="S81" s="117"/>
      <c r="T81" s="117"/>
      <c r="U81" s="117"/>
      <c r="V81" s="117"/>
      <c r="W81" s="117"/>
      <c r="X81" s="117"/>
      <c r="Y81" s="117"/>
      <c r="Z81" s="162"/>
      <c r="AA81" s="117"/>
      <c r="AB81" s="162"/>
      <c r="AC81" s="162"/>
      <c r="AD81" s="162"/>
      <c r="AE81" s="419"/>
      <c r="AF81" s="162"/>
    </row>
    <row r="82" spans="2:32" x14ac:dyDescent="0.25">
      <c r="B82" s="317"/>
      <c r="D82" s="117"/>
      <c r="E82" s="162"/>
      <c r="F82" s="117"/>
      <c r="G82" s="117"/>
      <c r="H82" s="117"/>
      <c r="I82" s="117"/>
      <c r="J82" s="117"/>
      <c r="K82" s="117"/>
      <c r="L82" s="117"/>
      <c r="M82" s="117"/>
      <c r="N82" s="117"/>
      <c r="O82" s="117"/>
      <c r="P82" s="162"/>
      <c r="Q82" s="117"/>
      <c r="R82" s="117"/>
      <c r="S82" s="117"/>
      <c r="T82" s="117"/>
      <c r="U82" s="117"/>
      <c r="V82" s="117"/>
      <c r="W82" s="117"/>
      <c r="X82" s="117"/>
      <c r="Y82" s="117"/>
      <c r="Z82" s="162"/>
      <c r="AA82" s="117"/>
      <c r="AB82" s="162"/>
      <c r="AC82" s="162"/>
      <c r="AD82" s="162"/>
      <c r="AE82" s="419"/>
      <c r="AF82" s="162"/>
    </row>
    <row r="83" spans="2:32" x14ac:dyDescent="0.25">
      <c r="B83" s="317"/>
      <c r="D83" s="18" t="s">
        <v>240</v>
      </c>
      <c r="F83" s="803" t="s">
        <v>311</v>
      </c>
      <c r="G83" s="803"/>
      <c r="H83" s="803"/>
      <c r="I83" s="803"/>
      <c r="J83" s="803"/>
      <c r="K83" s="803"/>
      <c r="L83" s="803"/>
      <c r="M83" s="803"/>
      <c r="N83" s="803"/>
      <c r="O83" s="166"/>
      <c r="P83" s="337"/>
      <c r="Q83" s="166"/>
      <c r="R83" s="166"/>
      <c r="S83" s="166"/>
      <c r="T83" s="166"/>
      <c r="U83" s="166"/>
      <c r="V83" s="166"/>
      <c r="W83" s="117"/>
      <c r="X83" s="166"/>
      <c r="Y83" s="117"/>
      <c r="Z83" s="337"/>
      <c r="AA83" s="166"/>
      <c r="AB83" s="337"/>
      <c r="AC83" s="337"/>
      <c r="AD83" s="337"/>
      <c r="AE83" s="231"/>
    </row>
    <row r="84" spans="2:32" x14ac:dyDescent="0.25">
      <c r="B84" s="317"/>
      <c r="F84" s="803"/>
      <c r="G84" s="803"/>
      <c r="H84" s="803"/>
      <c r="I84" s="803"/>
      <c r="J84" s="803"/>
      <c r="K84" s="803"/>
      <c r="L84" s="803"/>
      <c r="M84" s="803"/>
      <c r="N84" s="803"/>
      <c r="O84" s="166"/>
      <c r="P84" s="337"/>
      <c r="Q84" s="166"/>
      <c r="R84" s="166"/>
      <c r="S84" s="166"/>
      <c r="T84" s="166"/>
      <c r="U84" s="166"/>
      <c r="V84" s="166"/>
      <c r="W84" s="117"/>
      <c r="X84" s="166"/>
      <c r="Y84" s="117"/>
      <c r="Z84" s="337"/>
      <c r="AA84" s="166"/>
      <c r="AB84" s="337"/>
      <c r="AC84" s="337"/>
      <c r="AD84" s="337"/>
      <c r="AE84" s="231"/>
    </row>
    <row r="85" spans="2:32" ht="16.5" thickBot="1" x14ac:dyDescent="0.3">
      <c r="B85" s="423"/>
      <c r="C85" s="235"/>
      <c r="D85" s="235"/>
      <c r="E85" s="235"/>
      <c r="F85" s="424"/>
      <c r="G85" s="424"/>
      <c r="H85" s="424"/>
      <c r="I85" s="424"/>
      <c r="J85" s="424"/>
      <c r="K85" s="424"/>
      <c r="L85" s="424"/>
      <c r="M85" s="424"/>
      <c r="N85" s="424"/>
      <c r="O85" s="424"/>
      <c r="P85" s="425"/>
      <c r="Q85" s="424"/>
      <c r="R85" s="424"/>
      <c r="S85" s="424"/>
      <c r="T85" s="424"/>
      <c r="U85" s="424"/>
      <c r="V85" s="424"/>
      <c r="W85" s="352"/>
      <c r="X85" s="424"/>
      <c r="Y85" s="352"/>
      <c r="Z85" s="425"/>
      <c r="AA85" s="424"/>
      <c r="AB85" s="425"/>
      <c r="AC85" s="425"/>
      <c r="AD85" s="425"/>
      <c r="AE85" s="329"/>
    </row>
    <row r="86" spans="2:32" x14ac:dyDescent="0.25">
      <c r="B86" s="283"/>
      <c r="F86" s="166"/>
      <c r="G86" s="166"/>
      <c r="H86" s="166"/>
      <c r="I86" s="166"/>
      <c r="J86" s="166"/>
      <c r="K86" s="166"/>
      <c r="L86" s="166"/>
      <c r="M86" s="166"/>
      <c r="N86" s="166"/>
      <c r="O86" s="166"/>
      <c r="P86" s="337"/>
      <c r="Q86" s="166"/>
      <c r="R86" s="166"/>
      <c r="S86" s="166"/>
      <c r="T86" s="166"/>
      <c r="U86" s="166"/>
      <c r="V86" s="166"/>
      <c r="W86" s="166"/>
      <c r="X86" s="166"/>
      <c r="Y86" s="166"/>
      <c r="Z86" s="337"/>
      <c r="AA86" s="166"/>
      <c r="AB86" s="337"/>
      <c r="AC86" s="337"/>
      <c r="AD86" s="337"/>
    </row>
    <row r="87" spans="2:32" x14ac:dyDescent="0.25">
      <c r="B87" s="283"/>
    </row>
  </sheetData>
  <sheetProtection algorithmName="SHA-512" hashValue="5srplcbVAto3dbetGcnl8rczDT8jODo1XLledy/msnGG9svgVNZ73eo3a8bUR6mgSx9B5MMu3egaM/MR6p0ThA==" saltValue="Y1l82S6uBfcQCSKFSWqj4g==" spinCount="100000" sheet="1" objects="1" scenarios="1"/>
  <mergeCells count="4">
    <mergeCell ref="F10:P10"/>
    <mergeCell ref="R10:Z10"/>
    <mergeCell ref="AB10:AD10"/>
    <mergeCell ref="F83:N84"/>
  </mergeCells>
  <hyperlinks>
    <hyperlink ref="A6" location="'תוכן עניינים'!A1" display="תוכן עניינים" xr:uid="{00000000-0004-0000-0C00-000000000000}"/>
    <hyperlink ref="A7" location="'ביאורים 10-11'!A1" display="באור 10-11"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14"/>
  <dimension ref="A1:R63"/>
  <sheetViews>
    <sheetView showGridLines="0" rightToLeft="1" topLeftCell="A23" zoomScale="85" zoomScaleNormal="85" workbookViewId="0">
      <selection activeCell="D45" sqref="D45"/>
    </sheetView>
  </sheetViews>
  <sheetFormatPr defaultColWidth="8" defaultRowHeight="15.75" x14ac:dyDescent="0.25"/>
  <cols>
    <col min="1" max="2" width="8" style="18"/>
    <col min="3" max="3" width="10.5" style="18" customWidth="1"/>
    <col min="4" max="4" width="14.125" style="18" bestFit="1" customWidth="1"/>
    <col min="5" max="5" width="10.75" style="18" customWidth="1"/>
    <col min="6" max="6" width="17" style="18" bestFit="1" customWidth="1"/>
    <col min="7" max="7" width="1.75" style="18" customWidth="1"/>
    <col min="8" max="8" width="9.25" style="18" customWidth="1"/>
    <col min="9" max="9" width="1.75" style="18" customWidth="1"/>
    <col min="10" max="10" width="18.25" style="18" customWidth="1"/>
    <col min="11" max="11" width="1.625" style="18" customWidth="1"/>
    <col min="12" max="12" width="13.75" style="18" customWidth="1"/>
    <col min="13" max="13" width="1.75" style="18" customWidth="1"/>
    <col min="14" max="14" width="18.125" style="18" customWidth="1"/>
    <col min="15" max="15" width="1.625" style="18" customWidth="1"/>
    <col min="16" max="16" width="8.25" style="18" customWidth="1"/>
    <col min="17" max="17" width="11.75" style="18" customWidth="1"/>
    <col min="18" max="16384" width="8" style="18"/>
  </cols>
  <sheetData>
    <row r="1" spans="1:17" ht="31.5" x14ac:dyDescent="0.5">
      <c r="A1" s="11" t="s">
        <v>776</v>
      </c>
      <c r="B1" s="5"/>
      <c r="C1" s="12">
        <f>הנחיות!C1</f>
        <v>2024</v>
      </c>
      <c r="D1" s="5"/>
      <c r="E1" s="5"/>
      <c r="F1" s="5"/>
      <c r="G1" s="5"/>
      <c r="H1" s="298"/>
      <c r="I1" s="73"/>
      <c r="J1" s="73"/>
      <c r="K1" s="6"/>
      <c r="L1" s="6"/>
      <c r="M1" s="362"/>
      <c r="N1" s="362"/>
      <c r="O1" s="362"/>
      <c r="P1" s="402"/>
      <c r="Q1" s="4"/>
    </row>
    <row r="2" spans="1:17" ht="27" customHeight="1" x14ac:dyDescent="0.5">
      <c r="A2" s="13" t="s">
        <v>772</v>
      </c>
      <c r="B2" s="6"/>
      <c r="C2" s="15" t="s">
        <v>814</v>
      </c>
      <c r="D2" s="6"/>
      <c r="E2" s="6"/>
      <c r="F2" s="6"/>
      <c r="G2" s="6"/>
      <c r="H2" s="299"/>
      <c r="I2" s="73"/>
      <c r="J2" s="73"/>
      <c r="K2" s="6"/>
      <c r="L2" s="6"/>
      <c r="M2" s="362"/>
      <c r="N2" s="362"/>
      <c r="O2" s="362"/>
      <c r="P2" s="398"/>
      <c r="Q2" s="4"/>
    </row>
    <row r="3" spans="1:17" ht="21" customHeight="1" x14ac:dyDescent="0.5">
      <c r="A3" s="7"/>
      <c r="B3" s="6"/>
      <c r="C3" s="6"/>
      <c r="D3" s="6"/>
      <c r="E3" s="6"/>
      <c r="F3" s="6"/>
      <c r="G3" s="6"/>
      <c r="H3" s="299"/>
      <c r="I3" s="73"/>
      <c r="J3" s="73"/>
      <c r="K3" s="6"/>
      <c r="L3" s="6"/>
      <c r="M3" s="362"/>
      <c r="N3" s="362"/>
      <c r="O3" s="362"/>
      <c r="P3" s="398"/>
      <c r="Q3" s="4"/>
    </row>
    <row r="4" spans="1:17" ht="25.5" customHeight="1" x14ac:dyDescent="0.5">
      <c r="A4" s="169" t="s">
        <v>773</v>
      </c>
      <c r="B4" s="170"/>
      <c r="C4" s="171" t="str">
        <f>IF('פרטי התאגיד'!$G$9=0, "", 'פרטי התאגיד'!$G$9)</f>
        <v>פלגי מוצקין בע"מ</v>
      </c>
      <c r="D4" s="172"/>
      <c r="E4" s="172"/>
      <c r="F4" s="172"/>
      <c r="G4" s="172"/>
      <c r="H4" s="300"/>
      <c r="I4" s="174"/>
      <c r="J4" s="174"/>
      <c r="K4" s="172"/>
      <c r="L4" s="172"/>
      <c r="M4" s="399"/>
      <c r="N4" s="399"/>
      <c r="O4" s="399"/>
      <c r="P4" s="427"/>
      <c r="Q4" s="4"/>
    </row>
    <row r="5" spans="1:17" x14ac:dyDescent="0.25">
      <c r="A5" s="291"/>
      <c r="B5" s="4"/>
      <c r="C5" s="4"/>
      <c r="D5" s="4"/>
      <c r="E5" s="4"/>
      <c r="F5" s="4"/>
      <c r="G5" s="4"/>
      <c r="H5" s="4"/>
      <c r="I5" s="4"/>
      <c r="J5" s="4"/>
      <c r="K5" s="4"/>
      <c r="L5" s="4"/>
      <c r="M5" s="4"/>
      <c r="N5" s="4"/>
      <c r="O5" s="4"/>
      <c r="P5" s="4"/>
      <c r="Q5" s="4"/>
    </row>
    <row r="6" spans="1:17" ht="15" customHeight="1" x14ac:dyDescent="0.3">
      <c r="A6" s="30" t="s">
        <v>1</v>
      </c>
    </row>
    <row r="7" spans="1:17" ht="14.25" customHeight="1" x14ac:dyDescent="0.3">
      <c r="A7" s="30" t="s">
        <v>333</v>
      </c>
      <c r="B7" s="244"/>
      <c r="C7" s="3"/>
      <c r="D7" s="3"/>
      <c r="E7" s="3"/>
      <c r="F7" s="3"/>
      <c r="G7" s="3"/>
      <c r="H7" s="3"/>
      <c r="I7" s="3"/>
      <c r="J7" s="3"/>
      <c r="K7" s="3"/>
      <c r="L7" s="3"/>
      <c r="M7" s="3"/>
      <c r="N7" s="3"/>
      <c r="O7" s="3"/>
    </row>
    <row r="8" spans="1:17" ht="13.5" customHeight="1" thickBot="1" x14ac:dyDescent="0.3">
      <c r="A8" s="292"/>
      <c r="B8" s="244"/>
      <c r="C8" s="3"/>
      <c r="D8" s="3"/>
      <c r="E8" s="3"/>
      <c r="F8" s="3"/>
      <c r="G8" s="3"/>
      <c r="H8" s="3"/>
      <c r="I8" s="3"/>
      <c r="J8" s="3"/>
      <c r="K8" s="3"/>
      <c r="L8" s="3"/>
      <c r="M8" s="3"/>
      <c r="N8" s="3"/>
      <c r="O8" s="3"/>
    </row>
    <row r="9" spans="1:17" x14ac:dyDescent="0.25">
      <c r="B9" s="416"/>
      <c r="C9" s="307"/>
      <c r="D9" s="307"/>
      <c r="E9" s="307"/>
      <c r="F9" s="377"/>
      <c r="G9" s="377"/>
      <c r="H9" s="377"/>
      <c r="I9" s="377"/>
      <c r="J9" s="377"/>
      <c r="K9" s="377"/>
      <c r="L9" s="377"/>
      <c r="M9" s="377"/>
      <c r="N9" s="377"/>
      <c r="O9" s="307"/>
      <c r="P9" s="308"/>
    </row>
    <row r="10" spans="1:17" ht="18.75" x14ac:dyDescent="0.3">
      <c r="B10" s="309" t="s">
        <v>367</v>
      </c>
      <c r="C10" s="301"/>
      <c r="D10" s="364"/>
      <c r="F10" s="801" t="s">
        <v>290</v>
      </c>
      <c r="G10" s="801"/>
      <c r="H10" s="801"/>
      <c r="I10" s="801"/>
      <c r="J10" s="801"/>
      <c r="K10" s="801"/>
      <c r="L10" s="801"/>
      <c r="M10" s="801"/>
      <c r="N10" s="801"/>
      <c r="P10" s="231"/>
    </row>
    <row r="11" spans="1:17" x14ac:dyDescent="0.25">
      <c r="A11" s="166"/>
      <c r="B11" s="434"/>
      <c r="C11" s="337"/>
      <c r="D11" s="337"/>
      <c r="E11" s="337"/>
      <c r="F11" s="341" t="str">
        <f>IF(LEN('פרטי התאגיד'!G11)="",'פרטי התאגיד'!G11,IF(LEN('פרטי התאגיד'!G11)&gt;4,'פרטי התאגיד'!G11,"עלות ליום "&amp;"1.1."&amp;'פרטי התאגיד'!G11))</f>
        <v>עלות ליום 1.1.2024</v>
      </c>
      <c r="G11" s="341"/>
      <c r="H11" s="341" t="s">
        <v>329</v>
      </c>
      <c r="I11" s="341"/>
      <c r="J11" s="341" t="s">
        <v>368</v>
      </c>
      <c r="K11" s="341"/>
      <c r="L11" s="341" t="s">
        <v>369</v>
      </c>
      <c r="M11" s="341"/>
      <c r="N11" s="341" t="str">
        <f>"יתרה ליום "&amp;"31.12."&amp;RIGHT('פרטי התאגיד'!G11,4)</f>
        <v>יתרה ליום 31.12.2024</v>
      </c>
      <c r="O11" s="283"/>
      <c r="P11" s="325"/>
    </row>
    <row r="12" spans="1:17" ht="10.5" customHeight="1" x14ac:dyDescent="0.25">
      <c r="A12" s="166"/>
      <c r="B12" s="435"/>
      <c r="C12" s="166"/>
      <c r="D12" s="166"/>
      <c r="E12" s="166"/>
      <c r="F12" s="117"/>
      <c r="G12" s="117"/>
      <c r="H12" s="117"/>
      <c r="I12" s="117"/>
      <c r="J12" s="117"/>
      <c r="K12" s="117"/>
      <c r="L12" s="117"/>
      <c r="M12" s="117"/>
      <c r="N12" s="117"/>
      <c r="P12" s="231"/>
    </row>
    <row r="13" spans="1:17" ht="12.75" customHeight="1" x14ac:dyDescent="0.25">
      <c r="A13" s="166"/>
      <c r="B13" s="436" t="s">
        <v>340</v>
      </c>
      <c r="C13" s="405"/>
      <c r="D13" s="405"/>
      <c r="E13" s="405"/>
      <c r="F13" s="407"/>
      <c r="G13" s="407"/>
      <c r="H13" s="407"/>
      <c r="I13" s="407"/>
      <c r="J13" s="407"/>
      <c r="K13" s="407"/>
      <c r="L13" s="407"/>
      <c r="M13" s="407"/>
      <c r="N13" s="428"/>
      <c r="P13" s="231"/>
    </row>
    <row r="14" spans="1:17" x14ac:dyDescent="0.25">
      <c r="A14" s="166"/>
      <c r="B14" s="434"/>
      <c r="C14" s="166"/>
      <c r="D14" s="166" t="s">
        <v>341</v>
      </c>
      <c r="E14" s="166"/>
      <c r="F14" s="323"/>
      <c r="G14" s="117"/>
      <c r="H14" s="323"/>
      <c r="I14" s="117"/>
      <c r="J14" s="323"/>
      <c r="K14" s="117"/>
      <c r="L14" s="323"/>
      <c r="M14" s="117"/>
      <c r="N14" s="429">
        <f>F14+H14-J14-L14</f>
        <v>0</v>
      </c>
      <c r="P14" s="231"/>
    </row>
    <row r="15" spans="1:17" x14ac:dyDescent="0.25">
      <c r="A15" s="166"/>
      <c r="B15" s="434"/>
      <c r="C15" s="166"/>
      <c r="D15" s="166" t="s">
        <v>342</v>
      </c>
      <c r="E15" s="166"/>
      <c r="F15" s="323"/>
      <c r="G15" s="117"/>
      <c r="H15" s="323"/>
      <c r="I15" s="117"/>
      <c r="J15" s="323"/>
      <c r="K15" s="117"/>
      <c r="L15" s="323"/>
      <c r="M15" s="117"/>
      <c r="N15" s="429">
        <f>F15+H15-J15-L15</f>
        <v>0</v>
      </c>
      <c r="P15" s="231"/>
    </row>
    <row r="16" spans="1:17" x14ac:dyDescent="0.25">
      <c r="A16" s="166"/>
      <c r="B16" s="434"/>
      <c r="C16" s="166"/>
      <c r="D16" s="166" t="s">
        <v>343</v>
      </c>
      <c r="E16" s="166"/>
      <c r="F16" s="323"/>
      <c r="G16" s="117"/>
      <c r="H16" s="323"/>
      <c r="I16" s="117"/>
      <c r="J16" s="323"/>
      <c r="K16" s="117"/>
      <c r="L16" s="323"/>
      <c r="M16" s="117"/>
      <c r="N16" s="429">
        <f>F16+H16-J16-L16</f>
        <v>0</v>
      </c>
      <c r="P16" s="231"/>
    </row>
    <row r="17" spans="1:16" x14ac:dyDescent="0.25">
      <c r="A17" s="166"/>
      <c r="B17" s="434"/>
      <c r="C17" s="166"/>
      <c r="D17" s="166" t="s">
        <v>344</v>
      </c>
      <c r="E17" s="166"/>
      <c r="F17" s="323"/>
      <c r="G17" s="117"/>
      <c r="H17" s="323"/>
      <c r="I17" s="117"/>
      <c r="J17" s="323"/>
      <c r="K17" s="117"/>
      <c r="L17" s="323"/>
      <c r="M17" s="117"/>
      <c r="N17" s="429">
        <f>F17+H17-J17-L17</f>
        <v>0</v>
      </c>
      <c r="P17" s="231"/>
    </row>
    <row r="18" spans="1:16" x14ac:dyDescent="0.25">
      <c r="A18" s="166"/>
      <c r="B18" s="434"/>
      <c r="C18" s="166"/>
      <c r="D18" s="167" t="s">
        <v>345</v>
      </c>
      <c r="E18" s="166"/>
      <c r="F18" s="323"/>
      <c r="G18" s="117"/>
      <c r="H18" s="323"/>
      <c r="I18" s="117"/>
      <c r="J18" s="323"/>
      <c r="K18" s="117"/>
      <c r="L18" s="323"/>
      <c r="M18" s="117"/>
      <c r="N18" s="429">
        <f>F18+H18-J18-L18</f>
        <v>0</v>
      </c>
      <c r="P18" s="231"/>
    </row>
    <row r="19" spans="1:16" s="283" customFormat="1" x14ac:dyDescent="0.25">
      <c r="A19" s="337"/>
      <c r="B19" s="434"/>
      <c r="C19" s="337"/>
      <c r="D19" s="337"/>
      <c r="E19" s="337"/>
      <c r="F19" s="305">
        <f>SUM(F14:F18)</f>
        <v>0</v>
      </c>
      <c r="G19" s="162"/>
      <c r="H19" s="305">
        <f>SUM(H14:H18)</f>
        <v>0</v>
      </c>
      <c r="I19" s="162"/>
      <c r="J19" s="305">
        <f>SUM(J14:J18)</f>
        <v>0</v>
      </c>
      <c r="K19" s="162"/>
      <c r="L19" s="305">
        <f>SUM(L14:L18)</f>
        <v>0</v>
      </c>
      <c r="M19" s="162"/>
      <c r="N19" s="410">
        <f>SUM(N14:N18)</f>
        <v>0</v>
      </c>
      <c r="P19" s="325"/>
    </row>
    <row r="20" spans="1:16" x14ac:dyDescent="0.25">
      <c r="A20" s="166"/>
      <c r="B20" s="434"/>
      <c r="C20" s="166"/>
      <c r="D20" s="166"/>
      <c r="E20" s="166"/>
      <c r="F20" s="117"/>
      <c r="G20" s="117"/>
      <c r="H20" s="117"/>
      <c r="I20" s="117"/>
      <c r="J20" s="117"/>
      <c r="K20" s="117"/>
      <c r="L20" s="117"/>
      <c r="M20" s="117"/>
      <c r="N20" s="409"/>
      <c r="P20" s="231"/>
    </row>
    <row r="21" spans="1:16" x14ac:dyDescent="0.25">
      <c r="A21" s="166"/>
      <c r="B21" s="437" t="s">
        <v>346</v>
      </c>
      <c r="C21" s="166"/>
      <c r="D21" s="166"/>
      <c r="E21" s="166"/>
      <c r="F21" s="117"/>
      <c r="G21" s="117"/>
      <c r="H21" s="117"/>
      <c r="I21" s="117"/>
      <c r="J21" s="117"/>
      <c r="K21" s="117"/>
      <c r="L21" s="117"/>
      <c r="M21" s="117"/>
      <c r="N21" s="409"/>
      <c r="P21" s="231"/>
    </row>
    <row r="22" spans="1:16" x14ac:dyDescent="0.25">
      <c r="A22" s="166"/>
      <c r="B22" s="434"/>
      <c r="C22" s="166"/>
      <c r="D22" s="166" t="s">
        <v>343</v>
      </c>
      <c r="E22" s="166"/>
      <c r="F22" s="323"/>
      <c r="G22" s="117"/>
      <c r="H22" s="323"/>
      <c r="I22" s="117"/>
      <c r="J22" s="323"/>
      <c r="K22" s="117"/>
      <c r="L22" s="323"/>
      <c r="M22" s="117"/>
      <c r="N22" s="429">
        <f>F22+H22-J22-L22</f>
        <v>0</v>
      </c>
      <c r="P22" s="231"/>
    </row>
    <row r="23" spans="1:16" x14ac:dyDescent="0.25">
      <c r="A23" s="166"/>
      <c r="B23" s="434"/>
      <c r="C23" s="166"/>
      <c r="D23" s="166" t="s">
        <v>347</v>
      </c>
      <c r="E23" s="166"/>
      <c r="F23" s="323"/>
      <c r="G23" s="117"/>
      <c r="H23" s="323"/>
      <c r="I23" s="117"/>
      <c r="J23" s="323"/>
      <c r="K23" s="117"/>
      <c r="L23" s="323"/>
      <c r="M23" s="117"/>
      <c r="N23" s="429">
        <f t="shared" ref="N23:N32" si="0">F23+H23-J23-L23</f>
        <v>0</v>
      </c>
      <c r="P23" s="231"/>
    </row>
    <row r="24" spans="1:16" x14ac:dyDescent="0.25">
      <c r="A24" s="166"/>
      <c r="B24" s="434"/>
      <c r="C24" s="166"/>
      <c r="D24" s="166" t="s">
        <v>348</v>
      </c>
      <c r="E24" s="166"/>
      <c r="F24" s="323"/>
      <c r="G24" s="117"/>
      <c r="H24" s="323"/>
      <c r="I24" s="117"/>
      <c r="J24" s="323"/>
      <c r="K24" s="117"/>
      <c r="L24" s="323"/>
      <c r="M24" s="117"/>
      <c r="N24" s="429">
        <f t="shared" si="0"/>
        <v>0</v>
      </c>
      <c r="P24" s="231"/>
    </row>
    <row r="25" spans="1:16" x14ac:dyDescent="0.25">
      <c r="A25" s="166"/>
      <c r="B25" s="434"/>
      <c r="C25" s="166"/>
      <c r="D25" s="166" t="s">
        <v>349</v>
      </c>
      <c r="E25" s="166"/>
      <c r="F25" s="323"/>
      <c r="G25" s="117"/>
      <c r="H25" s="323"/>
      <c r="I25" s="117"/>
      <c r="J25" s="323"/>
      <c r="K25" s="117"/>
      <c r="L25" s="323"/>
      <c r="M25" s="117"/>
      <c r="N25" s="429">
        <f t="shared" si="0"/>
        <v>0</v>
      </c>
      <c r="P25" s="231"/>
    </row>
    <row r="26" spans="1:16" x14ac:dyDescent="0.25">
      <c r="A26" s="166"/>
      <c r="B26" s="434"/>
      <c r="C26" s="166"/>
      <c r="D26" s="166" t="s">
        <v>350</v>
      </c>
      <c r="E26" s="166"/>
      <c r="F26" s="323"/>
      <c r="G26" s="117"/>
      <c r="H26" s="323"/>
      <c r="I26" s="117"/>
      <c r="J26" s="323"/>
      <c r="K26" s="117"/>
      <c r="L26" s="323"/>
      <c r="M26" s="117"/>
      <c r="N26" s="429">
        <f t="shared" si="0"/>
        <v>0</v>
      </c>
      <c r="P26" s="231"/>
    </row>
    <row r="27" spans="1:16" x14ac:dyDescent="0.25">
      <c r="A27" s="166"/>
      <c r="B27" s="434"/>
      <c r="C27" s="166"/>
      <c r="D27" s="166" t="s">
        <v>351</v>
      </c>
      <c r="E27" s="166"/>
      <c r="F27" s="323"/>
      <c r="G27" s="117"/>
      <c r="H27" s="323"/>
      <c r="I27" s="117"/>
      <c r="J27" s="323"/>
      <c r="K27" s="117"/>
      <c r="L27" s="323"/>
      <c r="M27" s="117"/>
      <c r="N27" s="429">
        <f t="shared" si="0"/>
        <v>0</v>
      </c>
      <c r="P27" s="231"/>
    </row>
    <row r="28" spans="1:16" x14ac:dyDescent="0.25">
      <c r="A28" s="166"/>
      <c r="B28" s="434"/>
      <c r="C28" s="166"/>
      <c r="D28" s="166" t="s">
        <v>352</v>
      </c>
      <c r="E28" s="166"/>
      <c r="F28" s="323"/>
      <c r="G28" s="117"/>
      <c r="H28" s="323"/>
      <c r="I28" s="117"/>
      <c r="J28" s="323"/>
      <c r="K28" s="117"/>
      <c r="L28" s="323"/>
      <c r="M28" s="117"/>
      <c r="N28" s="429">
        <f t="shared" si="0"/>
        <v>0</v>
      </c>
      <c r="P28" s="231"/>
    </row>
    <row r="29" spans="1:16" x14ac:dyDescent="0.25">
      <c r="A29" s="166"/>
      <c r="B29" s="434"/>
      <c r="C29" s="166"/>
      <c r="D29" s="166" t="s">
        <v>297</v>
      </c>
      <c r="E29" s="166"/>
      <c r="F29" s="323"/>
      <c r="G29" s="117"/>
      <c r="H29" s="323"/>
      <c r="I29" s="117"/>
      <c r="J29" s="323"/>
      <c r="K29" s="117"/>
      <c r="L29" s="323"/>
      <c r="M29" s="117"/>
      <c r="N29" s="429">
        <f t="shared" si="0"/>
        <v>0</v>
      </c>
      <c r="P29" s="231"/>
    </row>
    <row r="30" spans="1:16" x14ac:dyDescent="0.25">
      <c r="A30" s="166"/>
      <c r="B30" s="434"/>
      <c r="C30" s="166"/>
      <c r="D30" s="166" t="s">
        <v>344</v>
      </c>
      <c r="E30" s="166"/>
      <c r="F30" s="323"/>
      <c r="G30" s="117"/>
      <c r="H30" s="323"/>
      <c r="I30" s="117"/>
      <c r="J30" s="323"/>
      <c r="K30" s="117"/>
      <c r="L30" s="323"/>
      <c r="M30" s="117"/>
      <c r="N30" s="429">
        <f t="shared" si="0"/>
        <v>0</v>
      </c>
      <c r="P30" s="231"/>
    </row>
    <row r="31" spans="1:16" x14ac:dyDescent="0.25">
      <c r="A31" s="166"/>
      <c r="B31" s="434"/>
      <c r="C31" s="166"/>
      <c r="D31" s="166" t="s">
        <v>353</v>
      </c>
      <c r="E31" s="166"/>
      <c r="F31" s="323"/>
      <c r="G31" s="117"/>
      <c r="H31" s="323"/>
      <c r="I31" s="117"/>
      <c r="J31" s="323"/>
      <c r="K31" s="117"/>
      <c r="L31" s="323"/>
      <c r="M31" s="117"/>
      <c r="N31" s="429">
        <f t="shared" si="0"/>
        <v>0</v>
      </c>
      <c r="P31" s="231"/>
    </row>
    <row r="32" spans="1:16" x14ac:dyDescent="0.25">
      <c r="A32" s="166"/>
      <c r="B32" s="434"/>
      <c r="C32" s="166"/>
      <c r="D32" s="167" t="s">
        <v>868</v>
      </c>
      <c r="E32" s="166"/>
      <c r="F32" s="323">
        <v>202</v>
      </c>
      <c r="G32" s="117"/>
      <c r="H32" s="323"/>
      <c r="I32" s="117"/>
      <c r="J32" s="323"/>
      <c r="K32" s="117"/>
      <c r="L32" s="323"/>
      <c r="M32" s="117"/>
      <c r="N32" s="429">
        <f t="shared" si="0"/>
        <v>202</v>
      </c>
      <c r="P32" s="231"/>
    </row>
    <row r="33" spans="1:16" x14ac:dyDescent="0.25">
      <c r="A33" s="166"/>
      <c r="B33" s="434"/>
      <c r="C33" s="166"/>
      <c r="D33" s="166"/>
      <c r="E33" s="166"/>
      <c r="F33" s="305">
        <f>SUM(F22:F32)</f>
        <v>202</v>
      </c>
      <c r="G33" s="162"/>
      <c r="H33" s="305">
        <f>SUM(H22:H32)</f>
        <v>0</v>
      </c>
      <c r="I33" s="162"/>
      <c r="J33" s="305">
        <f>SUM(J22:J32)</f>
        <v>0</v>
      </c>
      <c r="K33" s="162"/>
      <c r="L33" s="305">
        <f>SUM(L22:L32)</f>
        <v>0</v>
      </c>
      <c r="M33" s="162"/>
      <c r="N33" s="410">
        <f>SUM(N22:N32)</f>
        <v>202</v>
      </c>
      <c r="P33" s="231"/>
    </row>
    <row r="34" spans="1:16" x14ac:dyDescent="0.25">
      <c r="A34" s="166"/>
      <c r="B34" s="434"/>
      <c r="C34" s="166"/>
      <c r="D34" s="166"/>
      <c r="E34" s="166"/>
      <c r="F34" s="117"/>
      <c r="G34" s="117"/>
      <c r="H34" s="117"/>
      <c r="I34" s="117"/>
      <c r="J34" s="117"/>
      <c r="K34" s="117"/>
      <c r="L34" s="117"/>
      <c r="M34" s="117"/>
      <c r="N34" s="430"/>
      <c r="P34" s="231"/>
    </row>
    <row r="35" spans="1:16" s="283" customFormat="1" x14ac:dyDescent="0.25">
      <c r="A35" s="337"/>
      <c r="B35" s="438" t="s">
        <v>355</v>
      </c>
      <c r="C35" s="431"/>
      <c r="D35" s="431"/>
      <c r="E35" s="431"/>
      <c r="F35" s="432">
        <f>F19+F33</f>
        <v>202</v>
      </c>
      <c r="G35" s="413"/>
      <c r="H35" s="432">
        <f>H19+H33</f>
        <v>0</v>
      </c>
      <c r="I35" s="413"/>
      <c r="J35" s="432">
        <f>J19+J33</f>
        <v>0</v>
      </c>
      <c r="K35" s="413"/>
      <c r="L35" s="432">
        <f>L19+L33</f>
        <v>0</v>
      </c>
      <c r="M35" s="413"/>
      <c r="N35" s="433">
        <f>N19+N33</f>
        <v>202</v>
      </c>
      <c r="P35" s="325"/>
    </row>
    <row r="36" spans="1:16" x14ac:dyDescent="0.25">
      <c r="A36" s="166"/>
      <c r="B36" s="434"/>
      <c r="C36" s="166"/>
      <c r="D36" s="166"/>
      <c r="E36" s="166"/>
      <c r="F36" s="117"/>
      <c r="G36" s="117"/>
      <c r="H36" s="117"/>
      <c r="I36" s="117"/>
      <c r="J36" s="117"/>
      <c r="K36" s="117"/>
      <c r="L36" s="117"/>
      <c r="M36" s="117"/>
      <c r="N36" s="162"/>
      <c r="P36" s="231"/>
    </row>
    <row r="37" spans="1:16" ht="15" customHeight="1" x14ac:dyDescent="0.25">
      <c r="A37" s="166"/>
      <c r="B37" s="436" t="s">
        <v>356</v>
      </c>
      <c r="C37" s="405"/>
      <c r="D37" s="405"/>
      <c r="E37" s="405"/>
      <c r="F37" s="407"/>
      <c r="G37" s="407"/>
      <c r="H37" s="407"/>
      <c r="I37" s="407"/>
      <c r="J37" s="407"/>
      <c r="K37" s="407"/>
      <c r="L37" s="407"/>
      <c r="M37" s="407"/>
      <c r="N37" s="408"/>
      <c r="P37" s="231"/>
    </row>
    <row r="38" spans="1:16" x14ac:dyDescent="0.25">
      <c r="A38" s="166"/>
      <c r="B38" s="434"/>
      <c r="C38" s="166"/>
      <c r="D38" s="166" t="s">
        <v>343</v>
      </c>
      <c r="E38" s="166"/>
      <c r="F38" s="323"/>
      <c r="G38" s="117"/>
      <c r="H38" s="323"/>
      <c r="I38" s="117"/>
      <c r="J38" s="323"/>
      <c r="K38" s="117"/>
      <c r="L38" s="323"/>
      <c r="M38" s="117"/>
      <c r="N38" s="429">
        <f>F38+H38-J38-L38</f>
        <v>0</v>
      </c>
      <c r="P38" s="231"/>
    </row>
    <row r="39" spans="1:16" x14ac:dyDescent="0.25">
      <c r="A39" s="166"/>
      <c r="B39" s="434"/>
      <c r="C39" s="166"/>
      <c r="D39" s="166" t="s">
        <v>349</v>
      </c>
      <c r="E39" s="166"/>
      <c r="F39" s="323">
        <v>208</v>
      </c>
      <c r="G39" s="117"/>
      <c r="H39" s="323"/>
      <c r="I39" s="117"/>
      <c r="J39" s="323"/>
      <c r="K39" s="117"/>
      <c r="L39" s="323"/>
      <c r="M39" s="117"/>
      <c r="N39" s="429">
        <f t="shared" ref="N39:N47" si="1">F39+H39-J39-L39</f>
        <v>208</v>
      </c>
      <c r="P39" s="231"/>
    </row>
    <row r="40" spans="1:16" x14ac:dyDescent="0.25">
      <c r="A40" s="166"/>
      <c r="B40" s="434"/>
      <c r="C40" s="166"/>
      <c r="D40" s="166" t="s">
        <v>350</v>
      </c>
      <c r="E40" s="166"/>
      <c r="F40" s="323"/>
      <c r="G40" s="117"/>
      <c r="H40" s="323"/>
      <c r="I40" s="117"/>
      <c r="J40" s="323"/>
      <c r="K40" s="117"/>
      <c r="L40" s="323"/>
      <c r="M40" s="117"/>
      <c r="N40" s="429">
        <f t="shared" si="1"/>
        <v>0</v>
      </c>
      <c r="P40" s="231"/>
    </row>
    <row r="41" spans="1:16" x14ac:dyDescent="0.25">
      <c r="A41" s="166"/>
      <c r="B41" s="434"/>
      <c r="C41" s="166"/>
      <c r="D41" s="166" t="s">
        <v>351</v>
      </c>
      <c r="E41" s="166"/>
      <c r="F41" s="323"/>
      <c r="G41" s="117"/>
      <c r="H41" s="323"/>
      <c r="I41" s="117"/>
      <c r="J41" s="323"/>
      <c r="K41" s="117"/>
      <c r="L41" s="323"/>
      <c r="M41" s="117"/>
      <c r="N41" s="429">
        <f t="shared" si="1"/>
        <v>0</v>
      </c>
      <c r="P41" s="231"/>
    </row>
    <row r="42" spans="1:16" x14ac:dyDescent="0.25">
      <c r="A42" s="166"/>
      <c r="B42" s="434"/>
      <c r="C42" s="166"/>
      <c r="D42" s="166" t="s">
        <v>352</v>
      </c>
      <c r="E42" s="166"/>
      <c r="F42" s="323"/>
      <c r="G42" s="117"/>
      <c r="H42" s="323"/>
      <c r="I42" s="117"/>
      <c r="J42" s="323"/>
      <c r="K42" s="117"/>
      <c r="L42" s="323"/>
      <c r="M42" s="117"/>
      <c r="N42" s="429">
        <f t="shared" si="1"/>
        <v>0</v>
      </c>
      <c r="P42" s="231"/>
    </row>
    <row r="43" spans="1:16" x14ac:dyDescent="0.25">
      <c r="A43" s="166"/>
      <c r="B43" s="434"/>
      <c r="C43" s="166"/>
      <c r="D43" s="166" t="s">
        <v>297</v>
      </c>
      <c r="E43" s="166"/>
      <c r="F43" s="323"/>
      <c r="G43" s="117"/>
      <c r="H43" s="323"/>
      <c r="I43" s="117"/>
      <c r="J43" s="323"/>
      <c r="K43" s="117"/>
      <c r="L43" s="323"/>
      <c r="M43" s="117"/>
      <c r="N43" s="429">
        <f t="shared" si="1"/>
        <v>0</v>
      </c>
      <c r="P43" s="231"/>
    </row>
    <row r="44" spans="1:16" x14ac:dyDescent="0.25">
      <c r="A44" s="166"/>
      <c r="B44" s="434"/>
      <c r="C44" s="166"/>
      <c r="D44" s="166" t="s">
        <v>344</v>
      </c>
      <c r="E44" s="166"/>
      <c r="F44" s="323"/>
      <c r="G44" s="117"/>
      <c r="H44" s="323"/>
      <c r="I44" s="117"/>
      <c r="J44" s="323"/>
      <c r="K44" s="117"/>
      <c r="L44" s="323"/>
      <c r="M44" s="117"/>
      <c r="N44" s="429">
        <f t="shared" si="1"/>
        <v>0</v>
      </c>
      <c r="P44" s="231"/>
    </row>
    <row r="45" spans="1:16" x14ac:dyDescent="0.25">
      <c r="A45" s="166"/>
      <c r="B45" s="434"/>
      <c r="C45" s="166"/>
      <c r="D45" s="166" t="s">
        <v>353</v>
      </c>
      <c r="E45" s="166"/>
      <c r="F45" s="323">
        <v>273</v>
      </c>
      <c r="G45" s="117"/>
      <c r="H45" s="323">
        <v>47</v>
      </c>
      <c r="I45" s="117"/>
      <c r="J45" s="323"/>
      <c r="K45" s="117"/>
      <c r="L45" s="323"/>
      <c r="M45" s="117"/>
      <c r="N45" s="429">
        <f t="shared" si="1"/>
        <v>320</v>
      </c>
      <c r="P45" s="231"/>
    </row>
    <row r="46" spans="1:16" x14ac:dyDescent="0.25">
      <c r="A46" s="166"/>
      <c r="B46" s="434"/>
      <c r="C46" s="166"/>
      <c r="D46" s="166" t="s">
        <v>357</v>
      </c>
      <c r="E46" s="166"/>
      <c r="F46" s="323"/>
      <c r="G46" s="117"/>
      <c r="H46" s="323"/>
      <c r="I46" s="117"/>
      <c r="J46" s="323"/>
      <c r="K46" s="117"/>
      <c r="L46" s="323"/>
      <c r="M46" s="117"/>
      <c r="N46" s="429">
        <f t="shared" si="1"/>
        <v>0</v>
      </c>
      <c r="P46" s="231"/>
    </row>
    <row r="47" spans="1:16" x14ac:dyDescent="0.25">
      <c r="A47" s="166"/>
      <c r="B47" s="434"/>
      <c r="C47" s="166"/>
      <c r="D47" s="167"/>
      <c r="E47" s="166"/>
      <c r="F47" s="323"/>
      <c r="G47" s="117"/>
      <c r="H47" s="323"/>
      <c r="I47" s="117"/>
      <c r="J47" s="323"/>
      <c r="K47" s="117"/>
      <c r="L47" s="323"/>
      <c r="M47" s="117"/>
      <c r="N47" s="429">
        <f t="shared" si="1"/>
        <v>0</v>
      </c>
      <c r="P47" s="231"/>
    </row>
    <row r="48" spans="1:16" x14ac:dyDescent="0.25">
      <c r="A48" s="166"/>
      <c r="B48" s="434"/>
      <c r="C48" s="166"/>
      <c r="D48" s="166"/>
      <c r="E48" s="166"/>
      <c r="F48" s="305">
        <f>SUM(F36:F47)</f>
        <v>481</v>
      </c>
      <c r="G48" s="162"/>
      <c r="H48" s="305">
        <f>SUM(H36:H47)</f>
        <v>47</v>
      </c>
      <c r="I48" s="162"/>
      <c r="J48" s="305">
        <f>SUM(J36:J47)</f>
        <v>0</v>
      </c>
      <c r="K48" s="162"/>
      <c r="L48" s="305">
        <f>SUM(L36:L47)</f>
        <v>0</v>
      </c>
      <c r="M48" s="162"/>
      <c r="N48" s="410">
        <f>SUM(N36:N47)</f>
        <v>528</v>
      </c>
      <c r="P48" s="231"/>
    </row>
    <row r="49" spans="1:18" x14ac:dyDescent="0.25">
      <c r="A49" s="166"/>
      <c r="B49" s="434"/>
      <c r="C49" s="166"/>
      <c r="D49" s="166"/>
      <c r="E49" s="166"/>
      <c r="F49" s="162"/>
      <c r="G49" s="117"/>
      <c r="H49" s="162"/>
      <c r="I49" s="117"/>
      <c r="J49" s="162"/>
      <c r="K49" s="117"/>
      <c r="L49" s="162"/>
      <c r="M49" s="117"/>
      <c r="N49" s="409"/>
      <c r="P49" s="231"/>
    </row>
    <row r="50" spans="1:18" x14ac:dyDescent="0.25">
      <c r="A50" s="166"/>
      <c r="B50" s="437" t="s">
        <v>154</v>
      </c>
      <c r="C50" s="166"/>
      <c r="D50" s="166"/>
      <c r="E50" s="166"/>
      <c r="F50" s="117"/>
      <c r="G50" s="117"/>
      <c r="H50" s="117"/>
      <c r="I50" s="117"/>
      <c r="J50" s="117"/>
      <c r="K50" s="117"/>
      <c r="L50" s="117"/>
      <c r="M50" s="117"/>
      <c r="N50" s="409"/>
      <c r="P50" s="231"/>
    </row>
    <row r="51" spans="1:18" x14ac:dyDescent="0.25">
      <c r="A51" s="166"/>
      <c r="B51" s="434"/>
      <c r="C51" s="166"/>
      <c r="D51" s="166" t="s">
        <v>154</v>
      </c>
      <c r="E51" s="166"/>
      <c r="F51" s="323"/>
      <c r="G51" s="117"/>
      <c r="H51" s="323"/>
      <c r="I51" s="117"/>
      <c r="J51" s="323"/>
      <c r="K51" s="117"/>
      <c r="L51" s="323"/>
      <c r="M51" s="117"/>
      <c r="N51" s="429">
        <f>F51+H51-J51-L51</f>
        <v>0</v>
      </c>
      <c r="P51" s="231"/>
    </row>
    <row r="52" spans="1:18" x14ac:dyDescent="0.25">
      <c r="A52" s="166"/>
      <c r="B52" s="434"/>
      <c r="C52" s="166"/>
      <c r="D52" s="166" t="s">
        <v>350</v>
      </c>
      <c r="E52" s="166"/>
      <c r="F52" s="323"/>
      <c r="G52" s="117"/>
      <c r="H52" s="323"/>
      <c r="I52" s="117"/>
      <c r="J52" s="323"/>
      <c r="K52" s="117"/>
      <c r="L52" s="323"/>
      <c r="M52" s="117"/>
      <c r="N52" s="429">
        <f>F52+H52-J52-L52</f>
        <v>0</v>
      </c>
      <c r="P52" s="231"/>
    </row>
    <row r="53" spans="1:18" x14ac:dyDescent="0.25">
      <c r="A53" s="166"/>
      <c r="B53" s="434"/>
      <c r="C53" s="166"/>
      <c r="D53" s="166" t="s">
        <v>344</v>
      </c>
      <c r="E53" s="166"/>
      <c r="F53" s="323"/>
      <c r="G53" s="117"/>
      <c r="H53" s="323"/>
      <c r="I53" s="117"/>
      <c r="J53" s="323"/>
      <c r="K53" s="117"/>
      <c r="L53" s="323"/>
      <c r="M53" s="117"/>
      <c r="N53" s="429">
        <f>F53+H53-J53-L53</f>
        <v>0</v>
      </c>
      <c r="P53" s="231"/>
    </row>
    <row r="54" spans="1:18" x14ac:dyDescent="0.25">
      <c r="A54" s="166"/>
      <c r="B54" s="434"/>
      <c r="C54" s="166"/>
      <c r="D54" s="167" t="s">
        <v>345</v>
      </c>
      <c r="E54" s="166"/>
      <c r="F54" s="323"/>
      <c r="G54" s="117"/>
      <c r="H54" s="323"/>
      <c r="I54" s="117"/>
      <c r="J54" s="323"/>
      <c r="K54" s="117"/>
      <c r="L54" s="323"/>
      <c r="M54" s="117"/>
      <c r="N54" s="429">
        <f>F54+H54-J54-L54</f>
        <v>0</v>
      </c>
      <c r="P54" s="231"/>
    </row>
    <row r="55" spans="1:18" x14ac:dyDescent="0.25">
      <c r="A55" s="166"/>
      <c r="B55" s="438"/>
      <c r="C55" s="412"/>
      <c r="D55" s="412"/>
      <c r="E55" s="412"/>
      <c r="F55" s="432">
        <f>SUM(F51:F54)</f>
        <v>0</v>
      </c>
      <c r="G55" s="413"/>
      <c r="H55" s="432">
        <f>SUM(H51:H54)</f>
        <v>0</v>
      </c>
      <c r="I55" s="413"/>
      <c r="J55" s="432">
        <f>SUM(J51:J54)</f>
        <v>0</v>
      </c>
      <c r="K55" s="413"/>
      <c r="L55" s="432">
        <f>SUM(L51:L54)</f>
        <v>0</v>
      </c>
      <c r="M55" s="413"/>
      <c r="N55" s="433">
        <f>SUM(N51:N54)</f>
        <v>0</v>
      </c>
      <c r="P55" s="231"/>
    </row>
    <row r="56" spans="1:18" x14ac:dyDescent="0.25">
      <c r="A56" s="166"/>
      <c r="B56" s="434"/>
      <c r="C56" s="166"/>
      <c r="D56" s="166"/>
      <c r="E56" s="166"/>
      <c r="F56" s="117"/>
      <c r="G56" s="117"/>
      <c r="H56" s="117"/>
      <c r="I56" s="117"/>
      <c r="J56" s="117"/>
      <c r="K56" s="117"/>
      <c r="L56" s="117"/>
      <c r="M56" s="117"/>
      <c r="N56" s="162"/>
      <c r="P56" s="231"/>
    </row>
    <row r="57" spans="1:18" x14ac:dyDescent="0.25">
      <c r="A57" s="166"/>
      <c r="B57" s="434"/>
      <c r="C57" s="166"/>
      <c r="D57" s="166"/>
      <c r="E57" s="166"/>
      <c r="F57" s="117"/>
      <c r="G57" s="117"/>
      <c r="H57" s="117"/>
      <c r="I57" s="117"/>
      <c r="J57" s="117"/>
      <c r="K57" s="117"/>
      <c r="L57" s="117"/>
      <c r="M57" s="117"/>
      <c r="N57" s="162"/>
      <c r="P57" s="231"/>
    </row>
    <row r="58" spans="1:18" s="283" customFormat="1" x14ac:dyDescent="0.25">
      <c r="A58" s="337"/>
      <c r="B58" s="434" t="s">
        <v>138</v>
      </c>
      <c r="C58" s="337"/>
      <c r="D58" s="337"/>
      <c r="E58" s="337"/>
      <c r="F58" s="305">
        <f>F35+F48+F55</f>
        <v>683</v>
      </c>
      <c r="G58" s="162"/>
      <c r="H58" s="305">
        <f>H35+H48+H55</f>
        <v>47</v>
      </c>
      <c r="I58" s="162"/>
      <c r="J58" s="305">
        <f>J35+J48+J55</f>
        <v>0</v>
      </c>
      <c r="K58" s="162"/>
      <c r="L58" s="305">
        <f>L35+L48+L55</f>
        <v>0</v>
      </c>
      <c r="M58" s="162"/>
      <c r="N58" s="305">
        <f>N35+N48+N55</f>
        <v>730</v>
      </c>
      <c r="P58" s="325"/>
      <c r="R58" s="18"/>
    </row>
    <row r="59" spans="1:18" ht="16.5" thickBot="1" x14ac:dyDescent="0.3">
      <c r="A59" s="166"/>
      <c r="B59" s="439"/>
      <c r="C59" s="424"/>
      <c r="D59" s="424"/>
      <c r="E59" s="424"/>
      <c r="F59" s="352"/>
      <c r="G59" s="352"/>
      <c r="H59" s="352"/>
      <c r="I59" s="352"/>
      <c r="J59" s="352"/>
      <c r="K59" s="352"/>
      <c r="L59" s="352"/>
      <c r="M59" s="352"/>
      <c r="N59" s="440"/>
      <c r="O59" s="235"/>
      <c r="P59" s="329"/>
    </row>
    <row r="60" spans="1:18" x14ac:dyDescent="0.25">
      <c r="A60" s="166"/>
      <c r="B60" s="337"/>
      <c r="C60" s="166"/>
      <c r="D60" s="166"/>
      <c r="E60" s="166"/>
      <c r="F60" s="117"/>
      <c r="G60" s="117"/>
      <c r="H60" s="117"/>
      <c r="I60" s="117"/>
      <c r="J60" s="117"/>
      <c r="K60" s="117"/>
      <c r="L60" s="117"/>
      <c r="M60" s="117"/>
      <c r="N60" s="162"/>
    </row>
    <row r="61" spans="1:18" x14ac:dyDescent="0.25">
      <c r="A61" s="166"/>
      <c r="B61" s="337"/>
      <c r="C61" s="166"/>
      <c r="D61" s="166"/>
      <c r="E61" s="166"/>
      <c r="F61" s="117"/>
      <c r="G61" s="117"/>
      <c r="H61" s="117"/>
      <c r="I61" s="117"/>
      <c r="J61" s="117"/>
      <c r="K61" s="117"/>
      <c r="L61" s="117"/>
      <c r="M61" s="117"/>
      <c r="N61" s="162"/>
    </row>
    <row r="62" spans="1:18" x14ac:dyDescent="0.25">
      <c r="A62" s="166"/>
      <c r="B62" s="337"/>
      <c r="C62" s="166"/>
      <c r="D62" s="166"/>
      <c r="E62" s="166"/>
      <c r="F62" s="117"/>
      <c r="G62" s="117"/>
      <c r="H62" s="117"/>
      <c r="I62" s="117"/>
      <c r="J62" s="117"/>
      <c r="K62" s="117"/>
      <c r="L62" s="117"/>
      <c r="M62" s="117"/>
      <c r="N62" s="162"/>
    </row>
    <row r="63" spans="1:18" x14ac:dyDescent="0.25">
      <c r="A63" s="166"/>
      <c r="B63" s="337"/>
      <c r="C63" s="166"/>
      <c r="D63" s="166"/>
      <c r="E63" s="166"/>
      <c r="F63" s="117"/>
      <c r="G63" s="117"/>
      <c r="H63" s="117"/>
      <c r="I63" s="117"/>
      <c r="J63" s="117"/>
      <c r="K63" s="117"/>
      <c r="L63" s="117"/>
      <c r="M63" s="117"/>
      <c r="N63" s="162"/>
    </row>
  </sheetData>
  <sheetProtection algorithmName="SHA-512" hashValue="/fNGacn2ODS5HmRLrLMmPFSKTSxPc1aDVhh9GAOtiIQM56KuZzap5TnwyYixYjWBvgLpY1dBw6eULvQ7uikKNA==" saltValue="UtV4EjCMX0ff7LMxOAHQrA==" spinCount="100000" sheet="1" objects="1" scenarios="1"/>
  <mergeCells count="1">
    <mergeCell ref="F10:N10"/>
  </mergeCells>
  <hyperlinks>
    <hyperlink ref="A6" location="'תוכן עניינים'!A1" display="תוכן עניינים" xr:uid="{00000000-0004-0000-0D00-000000000000}"/>
    <hyperlink ref="A7" location="'באור 10-11'!A1" display="באור 10-11" xr:uid="{00000000-0004-0000-0D00-000001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15">
    <pageSetUpPr fitToPage="1"/>
  </sheetPr>
  <dimension ref="A1:N676"/>
  <sheetViews>
    <sheetView showGridLines="0" rightToLeft="1" tabSelected="1" topLeftCell="A166" zoomScale="85" zoomScaleNormal="85" workbookViewId="0">
      <selection activeCell="H547" sqref="H547"/>
    </sheetView>
  </sheetViews>
  <sheetFormatPr defaultColWidth="8" defaultRowHeight="15.75" x14ac:dyDescent="0.25"/>
  <cols>
    <col min="1" max="1" width="8" style="79"/>
    <col min="2" max="2" width="10.5" style="79" customWidth="1"/>
    <col min="3" max="3" width="7.125" style="79" customWidth="1"/>
    <col min="4" max="4" width="10.75" style="79" customWidth="1"/>
    <col min="5" max="5" width="4.75" style="79" customWidth="1"/>
    <col min="6" max="6" width="9.75" style="79" customWidth="1"/>
    <col min="7" max="7" width="22.125" style="79" customWidth="1"/>
    <col min="8" max="8" width="13.625" style="117" customWidth="1"/>
    <col min="9" max="9" width="1.5" style="117" customWidth="1"/>
    <col min="10" max="10" width="15" style="117" customWidth="1"/>
    <col min="11" max="11" width="1.25" style="79" customWidth="1"/>
    <col min="12" max="16384" width="8" style="79"/>
  </cols>
  <sheetData>
    <row r="1" spans="1:14" ht="31.5" x14ac:dyDescent="0.4">
      <c r="A1" s="11" t="s">
        <v>776</v>
      </c>
      <c r="B1" s="5"/>
      <c r="C1" s="12">
        <f>הנחיות!C1</f>
        <v>2024</v>
      </c>
      <c r="D1" s="5"/>
      <c r="E1" s="5"/>
      <c r="F1" s="5"/>
      <c r="G1" s="5"/>
      <c r="H1" s="368"/>
      <c r="I1" s="369"/>
      <c r="J1" s="369"/>
      <c r="K1" s="361"/>
      <c r="L1" s="290"/>
      <c r="N1" s="4"/>
    </row>
    <row r="2" spans="1:14" ht="31.5" x14ac:dyDescent="0.35">
      <c r="A2" s="13" t="s">
        <v>772</v>
      </c>
      <c r="B2" s="6"/>
      <c r="C2" s="15" t="s">
        <v>814</v>
      </c>
      <c r="D2" s="6"/>
      <c r="E2" s="6"/>
      <c r="F2" s="6"/>
      <c r="G2" s="6"/>
      <c r="H2" s="370"/>
      <c r="I2" s="369"/>
      <c r="J2" s="369"/>
      <c r="K2" s="362"/>
      <c r="L2" s="4"/>
      <c r="N2" s="18"/>
    </row>
    <row r="3" spans="1:14" ht="17.100000000000001" customHeight="1" x14ac:dyDescent="0.25">
      <c r="A3" s="7"/>
      <c r="B3" s="6"/>
      <c r="C3" s="6"/>
      <c r="D3" s="6"/>
      <c r="E3" s="6"/>
      <c r="F3" s="6"/>
      <c r="G3" s="6"/>
      <c r="H3" s="370"/>
      <c r="I3" s="369"/>
      <c r="J3" s="369"/>
      <c r="K3" s="362"/>
      <c r="L3" s="4"/>
    </row>
    <row r="4" spans="1:14" ht="31.5" x14ac:dyDescent="0.25">
      <c r="A4" s="169" t="s">
        <v>773</v>
      </c>
      <c r="B4" s="170"/>
      <c r="C4" s="171" t="str">
        <f>IF('פרטי התאגיד'!$G$9=0, "", 'פרטי התאגיד'!$G$9)</f>
        <v>פלגי מוצקין בע"מ</v>
      </c>
      <c r="D4" s="172"/>
      <c r="E4" s="172"/>
      <c r="F4" s="172"/>
      <c r="G4" s="172"/>
      <c r="H4" s="371"/>
      <c r="I4" s="347"/>
      <c r="J4" s="347"/>
      <c r="K4" s="363"/>
      <c r="L4" s="4"/>
      <c r="N4" s="18"/>
    </row>
    <row r="5" spans="1:14" x14ac:dyDescent="0.25">
      <c r="A5" s="4"/>
      <c r="B5" s="4"/>
      <c r="C5" s="4"/>
      <c r="D5" s="4"/>
      <c r="E5" s="4"/>
      <c r="F5" s="4"/>
      <c r="G5" s="4"/>
      <c r="H5" s="351"/>
      <c r="I5" s="351"/>
      <c r="J5" s="351"/>
      <c r="K5" s="4"/>
      <c r="L5" s="4"/>
    </row>
    <row r="6" spans="1:14" s="18" customFormat="1" ht="18.75" x14ac:dyDescent="0.3">
      <c r="A6" s="30" t="s">
        <v>1</v>
      </c>
      <c r="B6" s="244"/>
      <c r="H6" s="117"/>
      <c r="I6" s="117"/>
      <c r="J6" s="117"/>
      <c r="K6" s="82"/>
    </row>
    <row r="7" spans="1:14" s="18" customFormat="1" ht="16.5" thickBot="1" x14ac:dyDescent="0.3">
      <c r="B7" s="244"/>
      <c r="H7" s="117"/>
      <c r="I7" s="117"/>
      <c r="J7" s="117"/>
      <c r="K7" s="82"/>
    </row>
    <row r="8" spans="1:14" s="18" customFormat="1" x14ac:dyDescent="0.25">
      <c r="B8" s="256"/>
      <c r="C8" s="307"/>
      <c r="D8" s="307"/>
      <c r="E8" s="307"/>
      <c r="F8" s="307"/>
      <c r="G8" s="307"/>
      <c r="H8" s="377"/>
      <c r="I8" s="377"/>
      <c r="J8" s="377"/>
      <c r="K8" s="378"/>
    </row>
    <row r="9" spans="1:14" s="18" customFormat="1" ht="18.75" x14ac:dyDescent="0.25">
      <c r="B9" s="312" t="s">
        <v>370</v>
      </c>
      <c r="C9" s="366" t="s">
        <v>207</v>
      </c>
      <c r="D9" s="302" t="s">
        <v>91</v>
      </c>
      <c r="E9" s="302"/>
      <c r="F9" s="220"/>
      <c r="G9" s="387"/>
      <c r="H9" s="388"/>
      <c r="I9" s="388"/>
      <c r="J9" s="388"/>
      <c r="K9" s="379"/>
    </row>
    <row r="10" spans="1:14" s="18" customFormat="1" x14ac:dyDescent="0.25">
      <c r="B10" s="322"/>
      <c r="D10" s="286" t="s">
        <v>371</v>
      </c>
      <c r="H10" s="162"/>
      <c r="I10" s="162"/>
      <c r="J10" s="162"/>
      <c r="K10" s="380"/>
    </row>
    <row r="11" spans="1:14" s="18" customFormat="1" x14ac:dyDescent="0.25">
      <c r="B11" s="322"/>
      <c r="H11" s="162"/>
      <c r="I11" s="162"/>
      <c r="J11" s="162"/>
      <c r="K11" s="380"/>
    </row>
    <row r="12" spans="1:14" s="18" customFormat="1" x14ac:dyDescent="0.25">
      <c r="B12" s="322"/>
      <c r="D12" s="285" t="s">
        <v>247</v>
      </c>
      <c r="H12" s="804" t="s">
        <v>237</v>
      </c>
      <c r="I12" s="804"/>
      <c r="J12" s="804"/>
      <c r="K12" s="379"/>
    </row>
    <row r="13" spans="1:14" s="18" customFormat="1" x14ac:dyDescent="0.25">
      <c r="B13" s="322"/>
      <c r="H13" s="372" t="str">
        <f>RIGHT('פרטי התאגיד'!$G$11,4)</f>
        <v>2024</v>
      </c>
      <c r="I13" s="372"/>
      <c r="J13" s="372" t="str">
        <f>RIGHT('פרטי התאגיד'!$G$13,4)</f>
        <v>2023</v>
      </c>
      <c r="K13" s="380"/>
    </row>
    <row r="14" spans="1:14" s="18" customFormat="1" x14ac:dyDescent="0.25">
      <c r="B14" s="322"/>
      <c r="D14" s="18" t="s">
        <v>255</v>
      </c>
      <c r="H14" s="323">
        <v>6622</v>
      </c>
      <c r="I14" s="372"/>
      <c r="J14" s="323">
        <v>7718</v>
      </c>
      <c r="K14" s="379"/>
    </row>
    <row r="15" spans="1:14" s="18" customFormat="1" x14ac:dyDescent="0.25">
      <c r="B15" s="322"/>
      <c r="D15" s="18" t="s">
        <v>372</v>
      </c>
      <c r="H15" s="323">
        <v>-1096</v>
      </c>
      <c r="I15" s="372"/>
      <c r="J15" s="323">
        <v>-1096</v>
      </c>
      <c r="K15" s="379"/>
    </row>
    <row r="16" spans="1:14" s="18" customFormat="1" x14ac:dyDescent="0.25">
      <c r="B16" s="322"/>
      <c r="H16" s="339">
        <f>SUM(H14:H15)</f>
        <v>5526</v>
      </c>
      <c r="I16" s="162"/>
      <c r="J16" s="339">
        <f>SUM(J14:J15)</f>
        <v>6622</v>
      </c>
      <c r="K16" s="379"/>
    </row>
    <row r="17" spans="2:11" s="18" customFormat="1" x14ac:dyDescent="0.25">
      <c r="B17" s="322"/>
      <c r="H17" s="117"/>
      <c r="I17" s="372"/>
      <c r="J17" s="117"/>
      <c r="K17" s="379"/>
    </row>
    <row r="18" spans="2:11" s="18" customFormat="1" ht="18.75" x14ac:dyDescent="0.25">
      <c r="B18" s="312" t="s">
        <v>373</v>
      </c>
      <c r="C18" s="366" t="s">
        <v>207</v>
      </c>
      <c r="D18" s="302" t="s">
        <v>374</v>
      </c>
      <c r="E18" s="302"/>
      <c r="F18" s="220"/>
      <c r="G18" s="220"/>
      <c r="H18" s="388"/>
      <c r="I18" s="388"/>
      <c r="J18" s="388"/>
      <c r="K18" s="231"/>
    </row>
    <row r="19" spans="2:11" s="18" customFormat="1" x14ac:dyDescent="0.25">
      <c r="B19" s="322"/>
      <c r="H19" s="117"/>
      <c r="I19" s="117"/>
      <c r="J19" s="117"/>
      <c r="K19" s="231"/>
    </row>
    <row r="20" spans="2:11" s="18" customFormat="1" x14ac:dyDescent="0.25">
      <c r="B20" s="322"/>
      <c r="D20" s="285" t="s">
        <v>247</v>
      </c>
      <c r="H20" s="804" t="s">
        <v>237</v>
      </c>
      <c r="I20" s="804"/>
      <c r="J20" s="804"/>
      <c r="K20" s="379"/>
    </row>
    <row r="21" spans="2:11" s="18" customFormat="1" x14ac:dyDescent="0.25">
      <c r="B21" s="322"/>
      <c r="H21" s="372" t="str">
        <f>RIGHT('פרטי התאגיד'!$G$11,4)</f>
        <v>2024</v>
      </c>
      <c r="I21" s="372"/>
      <c r="J21" s="372" t="str">
        <f>RIGHT('פרטי התאגיד'!$G$13,4)</f>
        <v>2023</v>
      </c>
      <c r="K21" s="380"/>
    </row>
    <row r="22" spans="2:11" s="18" customFormat="1" x14ac:dyDescent="0.25">
      <c r="B22" s="322"/>
      <c r="D22" s="18" t="s">
        <v>375</v>
      </c>
      <c r="H22" s="117">
        <f>-H85</f>
        <v>0</v>
      </c>
      <c r="I22" s="117"/>
      <c r="J22" s="117">
        <f>-J85</f>
        <v>0</v>
      </c>
      <c r="K22" s="231"/>
    </row>
    <row r="23" spans="2:11" s="18" customFormat="1" x14ac:dyDescent="0.25">
      <c r="B23" s="322"/>
      <c r="D23" s="18" t="s">
        <v>376</v>
      </c>
      <c r="H23" s="117">
        <f>-H141</f>
        <v>0</v>
      </c>
      <c r="I23" s="117"/>
      <c r="J23" s="117">
        <f>-J141</f>
        <v>0</v>
      </c>
      <c r="K23" s="231"/>
    </row>
    <row r="24" spans="2:11" s="18" customFormat="1" x14ac:dyDescent="0.25">
      <c r="B24" s="322"/>
      <c r="D24" s="18" t="s">
        <v>377</v>
      </c>
      <c r="H24" s="117">
        <f>-H188</f>
        <v>9954</v>
      </c>
      <c r="I24" s="117"/>
      <c r="J24" s="117">
        <f>-J188</f>
        <v>2557</v>
      </c>
      <c r="K24" s="231"/>
    </row>
    <row r="25" spans="2:11" s="18" customFormat="1" x14ac:dyDescent="0.25">
      <c r="B25" s="322"/>
      <c r="D25" s="18" t="s">
        <v>378</v>
      </c>
      <c r="H25" s="323"/>
      <c r="I25" s="372"/>
      <c r="J25" s="323"/>
      <c r="K25" s="231"/>
    </row>
    <row r="26" spans="2:11" s="18" customFormat="1" x14ac:dyDescent="0.25">
      <c r="B26" s="322"/>
      <c r="D26" s="18" t="s">
        <v>379</v>
      </c>
      <c r="H26" s="323"/>
      <c r="I26" s="372"/>
      <c r="J26" s="323"/>
      <c r="K26" s="231"/>
    </row>
    <row r="27" spans="2:11" s="18" customFormat="1" x14ac:dyDescent="0.25">
      <c r="B27" s="322"/>
      <c r="D27" s="287" t="s">
        <v>9</v>
      </c>
      <c r="H27" s="323"/>
      <c r="I27" s="372"/>
      <c r="J27" s="323"/>
      <c r="K27" s="231"/>
    </row>
    <row r="28" spans="2:11" s="18" customFormat="1" x14ac:dyDescent="0.25">
      <c r="B28" s="322"/>
      <c r="H28" s="339">
        <f>SUM(H22:H27)</f>
        <v>9954</v>
      </c>
      <c r="I28" s="162"/>
      <c r="J28" s="339">
        <f>SUM(J22:J27)</f>
        <v>2557</v>
      </c>
      <c r="K28" s="231"/>
    </row>
    <row r="29" spans="2:11" s="18" customFormat="1" x14ac:dyDescent="0.25">
      <c r="B29" s="322"/>
      <c r="H29" s="117"/>
      <c r="I29" s="117"/>
      <c r="J29" s="117"/>
      <c r="K29" s="231"/>
    </row>
    <row r="30" spans="2:11" s="18" customFormat="1" ht="18.75" x14ac:dyDescent="0.25">
      <c r="B30" s="312" t="s">
        <v>380</v>
      </c>
      <c r="C30" s="366" t="s">
        <v>207</v>
      </c>
      <c r="D30" s="302" t="s">
        <v>381</v>
      </c>
      <c r="E30" s="302"/>
      <c r="F30" s="220"/>
      <c r="G30" s="387"/>
      <c r="H30" s="388"/>
      <c r="I30" s="388"/>
      <c r="J30" s="388"/>
      <c r="K30" s="379"/>
    </row>
    <row r="31" spans="2:11" s="18" customFormat="1" x14ac:dyDescent="0.25">
      <c r="B31" s="322"/>
      <c r="H31" s="117"/>
      <c r="I31" s="117"/>
      <c r="J31" s="117"/>
      <c r="K31" s="231"/>
    </row>
    <row r="32" spans="2:11" s="18" customFormat="1" x14ac:dyDescent="0.25">
      <c r="B32" s="322"/>
      <c r="D32" s="285" t="s">
        <v>247</v>
      </c>
      <c r="H32" s="804" t="s">
        <v>237</v>
      </c>
      <c r="I32" s="804"/>
      <c r="J32" s="804"/>
      <c r="K32" s="379"/>
    </row>
    <row r="33" spans="2:11" s="18" customFormat="1" x14ac:dyDescent="0.25">
      <c r="B33" s="322"/>
      <c r="H33" s="372" t="str">
        <f>RIGHT('פרטי התאגיד'!$G$11,4)</f>
        <v>2024</v>
      </c>
      <c r="I33" s="372"/>
      <c r="J33" s="372" t="str">
        <f>RIGHT('פרטי התאגיד'!$G$13,4)</f>
        <v>2023</v>
      </c>
      <c r="K33" s="380"/>
    </row>
    <row r="34" spans="2:11" s="18" customFormat="1" x14ac:dyDescent="0.25">
      <c r="B34" s="322"/>
      <c r="D34" s="18" t="s">
        <v>382</v>
      </c>
      <c r="H34" s="323"/>
      <c r="I34" s="372"/>
      <c r="J34" s="323">
        <v>0</v>
      </c>
      <c r="K34" s="231"/>
    </row>
    <row r="35" spans="2:11" s="18" customFormat="1" x14ac:dyDescent="0.25">
      <c r="B35" s="322"/>
      <c r="D35" s="18" t="s">
        <v>383</v>
      </c>
      <c r="H35" s="323">
        <f>2658+130</f>
        <v>2788</v>
      </c>
      <c r="I35" s="372"/>
      <c r="J35" s="323">
        <f>1928+261</f>
        <v>2189</v>
      </c>
      <c r="K35" s="231"/>
    </row>
    <row r="36" spans="2:11" s="18" customFormat="1" x14ac:dyDescent="0.25">
      <c r="B36" s="322"/>
      <c r="D36" s="18" t="s">
        <v>384</v>
      </c>
      <c r="H36" s="323">
        <f>28568-20221</f>
        <v>8347</v>
      </c>
      <c r="I36" s="372"/>
      <c r="J36" s="323">
        <f>33942-23637</f>
        <v>10305</v>
      </c>
      <c r="K36" s="231"/>
    </row>
    <row r="37" spans="2:11" s="18" customFormat="1" x14ac:dyDescent="0.25">
      <c r="B37" s="322"/>
      <c r="D37" s="18" t="s">
        <v>385</v>
      </c>
      <c r="F37" s="284"/>
      <c r="H37" s="117">
        <f>+H52</f>
        <v>2746</v>
      </c>
      <c r="I37" s="117"/>
      <c r="J37" s="117">
        <f>+J52</f>
        <v>2066</v>
      </c>
      <c r="K37" s="231"/>
    </row>
    <row r="38" spans="2:11" s="18" customFormat="1" x14ac:dyDescent="0.25">
      <c r="B38" s="322"/>
      <c r="D38" s="284" t="s">
        <v>386</v>
      </c>
      <c r="E38" s="284"/>
      <c r="H38" s="323">
        <v>8694</v>
      </c>
      <c r="I38" s="372"/>
      <c r="J38" s="323">
        <v>11074</v>
      </c>
      <c r="K38" s="231"/>
    </row>
    <row r="39" spans="2:11" s="18" customFormat="1" x14ac:dyDescent="0.25">
      <c r="B39" s="322"/>
      <c r="D39" s="287" t="s">
        <v>865</v>
      </c>
      <c r="E39" s="284"/>
      <c r="F39" s="284"/>
      <c r="H39" s="323">
        <v>5993</v>
      </c>
      <c r="I39" s="372"/>
      <c r="J39" s="323">
        <v>8308</v>
      </c>
      <c r="K39" s="231"/>
    </row>
    <row r="40" spans="2:11" s="18" customFormat="1" x14ac:dyDescent="0.25">
      <c r="B40" s="322"/>
      <c r="D40" s="284" t="s">
        <v>387</v>
      </c>
      <c r="H40" s="323"/>
      <c r="I40" s="372"/>
      <c r="J40" s="323"/>
      <c r="K40" s="231"/>
    </row>
    <row r="41" spans="2:11" s="18" customFormat="1" x14ac:dyDescent="0.25">
      <c r="B41" s="322"/>
      <c r="H41" s="339">
        <f>SUM(H34:H40)</f>
        <v>28568</v>
      </c>
      <c r="I41" s="162"/>
      <c r="J41" s="339">
        <f>SUM(J34:J40)</f>
        <v>33942</v>
      </c>
      <c r="K41" s="231"/>
    </row>
    <row r="42" spans="2:11" s="18" customFormat="1" x14ac:dyDescent="0.25">
      <c r="B42" s="322"/>
      <c r="C42" s="18" t="str">
        <f>"(1)"</f>
        <v>(1)</v>
      </c>
      <c r="D42" s="18" t="s">
        <v>388</v>
      </c>
      <c r="H42" s="117"/>
      <c r="I42" s="117"/>
      <c r="J42" s="117"/>
      <c r="K42" s="231"/>
    </row>
    <row r="43" spans="2:11" s="18" customFormat="1" x14ac:dyDescent="0.25">
      <c r="B43" s="322"/>
      <c r="H43" s="117"/>
      <c r="I43" s="117"/>
      <c r="J43" s="117"/>
      <c r="K43" s="231"/>
    </row>
    <row r="44" spans="2:11" s="18" customFormat="1" x14ac:dyDescent="0.25">
      <c r="B44" s="322"/>
      <c r="D44" s="18">
        <v>-2</v>
      </c>
      <c r="E44" s="18" t="s">
        <v>389</v>
      </c>
      <c r="H44" s="804" t="s">
        <v>237</v>
      </c>
      <c r="I44" s="804"/>
      <c r="J44" s="804"/>
      <c r="K44" s="231"/>
    </row>
    <row r="45" spans="2:11" s="18" customFormat="1" x14ac:dyDescent="0.25">
      <c r="B45" s="322"/>
      <c r="H45" s="372" t="str">
        <f>RIGHT('פרטי התאגיד'!$G$11,4)</f>
        <v>2024</v>
      </c>
      <c r="I45" s="372"/>
      <c r="J45" s="372" t="str">
        <f>RIGHT('פרטי התאגיד'!$G$13,4)</f>
        <v>2023</v>
      </c>
      <c r="K45" s="231"/>
    </row>
    <row r="46" spans="2:11" s="18" customFormat="1" x14ac:dyDescent="0.25">
      <c r="B46" s="322"/>
      <c r="E46" s="18" t="s">
        <v>390</v>
      </c>
      <c r="H46" s="323">
        <v>724</v>
      </c>
      <c r="I46" s="372"/>
      <c r="J46" s="323">
        <v>540</v>
      </c>
      <c r="K46" s="231"/>
    </row>
    <row r="47" spans="2:11" s="18" customFormat="1" x14ac:dyDescent="0.25">
      <c r="B47" s="322"/>
      <c r="E47" s="18" t="s">
        <v>391</v>
      </c>
      <c r="H47" s="323">
        <v>245</v>
      </c>
      <c r="I47" s="372"/>
      <c r="J47" s="323"/>
      <c r="K47" s="231"/>
    </row>
    <row r="48" spans="2:11" s="18" customFormat="1" x14ac:dyDescent="0.25">
      <c r="B48" s="322"/>
      <c r="E48" s="18" t="s">
        <v>392</v>
      </c>
      <c r="H48" s="323"/>
      <c r="I48" s="372"/>
      <c r="J48" s="323"/>
      <c r="K48" s="231"/>
    </row>
    <row r="49" spans="2:11" s="18" customFormat="1" x14ac:dyDescent="0.25">
      <c r="B49" s="322"/>
      <c r="E49" s="18" t="s">
        <v>393</v>
      </c>
      <c r="H49" s="323"/>
      <c r="I49" s="372"/>
      <c r="J49" s="323">
        <v>25</v>
      </c>
      <c r="K49" s="231"/>
    </row>
    <row r="50" spans="2:11" s="18" customFormat="1" x14ac:dyDescent="0.25">
      <c r="B50" s="322"/>
      <c r="E50" s="18" t="s">
        <v>394</v>
      </c>
      <c r="H50" s="323">
        <v>1459</v>
      </c>
      <c r="I50" s="372"/>
      <c r="J50" s="323">
        <v>601</v>
      </c>
      <c r="K50" s="231"/>
    </row>
    <row r="51" spans="2:11" s="18" customFormat="1" x14ac:dyDescent="0.25">
      <c r="B51" s="322"/>
      <c r="E51" s="287" t="s">
        <v>395</v>
      </c>
      <c r="H51" s="323">
        <f>2746-2428</f>
        <v>318</v>
      </c>
      <c r="I51" s="372"/>
      <c r="J51" s="323">
        <f>2066-1166</f>
        <v>900</v>
      </c>
      <c r="K51" s="231"/>
    </row>
    <row r="52" spans="2:11" s="18" customFormat="1" x14ac:dyDescent="0.25">
      <c r="B52" s="322"/>
      <c r="H52" s="339">
        <f>SUM(H46:H51)</f>
        <v>2746</v>
      </c>
      <c r="I52" s="162"/>
      <c r="J52" s="339">
        <f>SUM(J46:J51)</f>
        <v>2066</v>
      </c>
      <c r="K52" s="231"/>
    </row>
    <row r="53" spans="2:11" s="18" customFormat="1" x14ac:dyDescent="0.25">
      <c r="B53" s="322"/>
      <c r="H53" s="117"/>
      <c r="I53" s="117"/>
      <c r="J53" s="117"/>
      <c r="K53" s="231"/>
    </row>
    <row r="54" spans="2:11" s="18" customFormat="1" ht="18.75" x14ac:dyDescent="0.25">
      <c r="B54" s="312" t="s">
        <v>396</v>
      </c>
      <c r="C54" s="366" t="s">
        <v>207</v>
      </c>
      <c r="D54" s="302" t="s">
        <v>100</v>
      </c>
      <c r="E54" s="302"/>
      <c r="F54" s="220"/>
      <c r="G54" s="387"/>
      <c r="H54" s="388"/>
      <c r="I54" s="388"/>
      <c r="J54" s="388"/>
      <c r="K54" s="379"/>
    </row>
    <row r="55" spans="2:11" s="18" customFormat="1" x14ac:dyDescent="0.25">
      <c r="B55" s="322"/>
      <c r="H55" s="117"/>
      <c r="I55" s="117"/>
      <c r="J55" s="117"/>
      <c r="K55" s="231"/>
    </row>
    <row r="56" spans="2:11" s="18" customFormat="1" x14ac:dyDescent="0.25">
      <c r="B56" s="322"/>
      <c r="D56" s="285" t="s">
        <v>247</v>
      </c>
      <c r="H56" s="804" t="s">
        <v>237</v>
      </c>
      <c r="I56" s="804"/>
      <c r="J56" s="804"/>
      <c r="K56" s="379"/>
    </row>
    <row r="57" spans="2:11" s="18" customFormat="1" x14ac:dyDescent="0.25">
      <c r="B57" s="322"/>
      <c r="H57" s="372" t="str">
        <f>RIGHT('פרטי התאגיד'!$G$11,4)</f>
        <v>2024</v>
      </c>
      <c r="I57" s="372"/>
      <c r="J57" s="372" t="str">
        <f>RIGHT('פרטי התאגיד'!$G$13,4)</f>
        <v>2023</v>
      </c>
      <c r="K57" s="380"/>
    </row>
    <row r="58" spans="2:11" s="18" customFormat="1" x14ac:dyDescent="0.25">
      <c r="B58" s="322"/>
      <c r="D58" s="18" t="s">
        <v>397</v>
      </c>
      <c r="H58" s="323">
        <v>412</v>
      </c>
      <c r="I58" s="372"/>
      <c r="J58" s="323">
        <f>321</f>
        <v>321</v>
      </c>
      <c r="K58" s="231"/>
    </row>
    <row r="59" spans="2:11" s="18" customFormat="1" x14ac:dyDescent="0.25">
      <c r="B59" s="322"/>
      <c r="D59" s="18" t="s">
        <v>398</v>
      </c>
      <c r="H59" s="323">
        <v>310</v>
      </c>
      <c r="I59" s="372"/>
      <c r="J59" s="323">
        <v>269</v>
      </c>
      <c r="K59" s="231"/>
    </row>
    <row r="60" spans="2:11" s="18" customFormat="1" x14ac:dyDescent="0.25">
      <c r="B60" s="322"/>
      <c r="D60" s="287" t="s">
        <v>9</v>
      </c>
      <c r="H60" s="323"/>
      <c r="I60" s="372"/>
      <c r="J60" s="323"/>
      <c r="K60" s="231"/>
    </row>
    <row r="61" spans="2:11" s="18" customFormat="1" x14ac:dyDescent="0.25">
      <c r="B61" s="322"/>
      <c r="D61" s="287" t="s">
        <v>9</v>
      </c>
      <c r="H61" s="323"/>
      <c r="I61" s="372"/>
      <c r="J61" s="323"/>
      <c r="K61" s="231"/>
    </row>
    <row r="62" spans="2:11" s="18" customFormat="1" x14ac:dyDescent="0.25">
      <c r="B62" s="322"/>
      <c r="H62" s="339">
        <f>SUM(H58:H61)</f>
        <v>722</v>
      </c>
      <c r="I62" s="162"/>
      <c r="J62" s="339">
        <f>SUM(J58:J61)</f>
        <v>590</v>
      </c>
      <c r="K62" s="231"/>
    </row>
    <row r="63" spans="2:11" s="18" customFormat="1" x14ac:dyDescent="0.25">
      <c r="B63" s="322"/>
      <c r="H63" s="117"/>
      <c r="I63" s="117"/>
      <c r="J63" s="117"/>
      <c r="K63" s="231"/>
    </row>
    <row r="64" spans="2:11" s="18" customFormat="1" ht="18.75" x14ac:dyDescent="0.25">
      <c r="B64" s="312" t="s">
        <v>399</v>
      </c>
      <c r="C64" s="366" t="s">
        <v>207</v>
      </c>
      <c r="D64" s="302" t="s">
        <v>101</v>
      </c>
      <c r="E64" s="302"/>
      <c r="F64" s="220"/>
      <c r="G64" s="387"/>
      <c r="H64" s="388"/>
      <c r="I64" s="388"/>
      <c r="J64" s="388"/>
      <c r="K64" s="379"/>
    </row>
    <row r="65" spans="2:11" s="18" customFormat="1" x14ac:dyDescent="0.25">
      <c r="B65" s="322"/>
      <c r="H65" s="117"/>
      <c r="I65" s="117"/>
      <c r="J65" s="117"/>
      <c r="K65" s="231"/>
    </row>
    <row r="66" spans="2:11" s="18" customFormat="1" x14ac:dyDescent="0.25">
      <c r="B66" s="322"/>
      <c r="D66" s="285" t="s">
        <v>247</v>
      </c>
      <c r="H66" s="804" t="s">
        <v>237</v>
      </c>
      <c r="I66" s="804"/>
      <c r="J66" s="804"/>
      <c r="K66" s="379"/>
    </row>
    <row r="67" spans="2:11" s="18" customFormat="1" x14ac:dyDescent="0.25">
      <c r="B67" s="322"/>
      <c r="H67" s="372" t="str">
        <f>RIGHT('פרטי התאגיד'!$G$11,4)</f>
        <v>2024</v>
      </c>
      <c r="I67" s="372"/>
      <c r="J67" s="372" t="str">
        <f>RIGHT('פרטי התאגיד'!$G$13,4)</f>
        <v>2023</v>
      </c>
      <c r="K67" s="380"/>
    </row>
    <row r="68" spans="2:11" s="18" customFormat="1" x14ac:dyDescent="0.25">
      <c r="B68" s="322"/>
      <c r="D68" s="18" t="s">
        <v>400</v>
      </c>
      <c r="H68" s="323">
        <v>522</v>
      </c>
      <c r="I68" s="372"/>
      <c r="J68" s="323">
        <v>275</v>
      </c>
      <c r="K68" s="231"/>
    </row>
    <row r="69" spans="2:11" s="18" customFormat="1" x14ac:dyDescent="0.25">
      <c r="B69" s="322"/>
      <c r="D69" s="18" t="s">
        <v>262</v>
      </c>
      <c r="H69" s="323">
        <v>607</v>
      </c>
      <c r="I69" s="372"/>
      <c r="J69" s="323">
        <v>1776</v>
      </c>
      <c r="K69" s="231"/>
    </row>
    <row r="70" spans="2:11" s="18" customFormat="1" x14ac:dyDescent="0.25">
      <c r="B70" s="322"/>
      <c r="D70" s="18" t="s">
        <v>269</v>
      </c>
      <c r="H70" s="323">
        <f>909-355</f>
        <v>554</v>
      </c>
      <c r="I70" s="117"/>
      <c r="J70" s="323">
        <f>3434-(30)</f>
        <v>3404</v>
      </c>
      <c r="K70" s="231"/>
    </row>
    <row r="71" spans="2:11" s="18" customFormat="1" x14ac:dyDescent="0.25">
      <c r="B71" s="322"/>
      <c r="D71" s="287" t="s">
        <v>401</v>
      </c>
      <c r="H71" s="117">
        <f>H264</f>
        <v>0</v>
      </c>
      <c r="I71" s="117"/>
      <c r="J71" s="117">
        <f>J264</f>
        <v>0</v>
      </c>
      <c r="K71" s="231"/>
    </row>
    <row r="72" spans="2:11" s="18" customFormat="1" x14ac:dyDescent="0.25">
      <c r="B72" s="322"/>
      <c r="D72" s="287" t="s">
        <v>395</v>
      </c>
      <c r="H72" s="323">
        <f>1558-1306+1</f>
        <v>253</v>
      </c>
      <c r="I72" s="372"/>
      <c r="J72" s="323">
        <v>428</v>
      </c>
      <c r="K72" s="231"/>
    </row>
    <row r="73" spans="2:11" s="18" customFormat="1" x14ac:dyDescent="0.25">
      <c r="B73" s="322"/>
      <c r="D73" s="287" t="s">
        <v>402</v>
      </c>
      <c r="H73" s="323"/>
      <c r="I73" s="372"/>
      <c r="J73" s="323"/>
      <c r="K73" s="231"/>
    </row>
    <row r="74" spans="2:11" s="18" customFormat="1" x14ac:dyDescent="0.25">
      <c r="B74" s="322"/>
      <c r="H74" s="339">
        <f>SUM(H68:H73)</f>
        <v>1936</v>
      </c>
      <c r="I74" s="162"/>
      <c r="J74" s="339">
        <f>SUM(J68:J73)</f>
        <v>5883</v>
      </c>
      <c r="K74" s="231"/>
    </row>
    <row r="75" spans="2:11" s="18" customFormat="1" x14ac:dyDescent="0.25">
      <c r="B75" s="322"/>
      <c r="H75" s="117"/>
      <c r="I75" s="117"/>
      <c r="J75" s="117"/>
      <c r="K75" s="231"/>
    </row>
    <row r="76" spans="2:11" s="293" customFormat="1" ht="21" x14ac:dyDescent="0.45">
      <c r="B76" s="389" t="s">
        <v>403</v>
      </c>
      <c r="C76" s="296" t="s">
        <v>207</v>
      </c>
      <c r="D76" s="294" t="s">
        <v>103</v>
      </c>
      <c r="H76" s="348"/>
      <c r="I76" s="348"/>
      <c r="J76" s="348"/>
      <c r="K76" s="310"/>
    </row>
    <row r="77" spans="2:11" s="18" customFormat="1" x14ac:dyDescent="0.25">
      <c r="B77" s="322"/>
      <c r="H77" s="117"/>
      <c r="I77" s="117"/>
      <c r="J77" s="117"/>
      <c r="K77" s="231"/>
    </row>
    <row r="78" spans="2:11" s="18" customFormat="1" x14ac:dyDescent="0.25">
      <c r="B78" s="322"/>
      <c r="D78" s="285" t="s">
        <v>404</v>
      </c>
      <c r="H78" s="117"/>
      <c r="I78" s="117"/>
      <c r="J78" s="117"/>
      <c r="K78" s="231"/>
    </row>
    <row r="79" spans="2:11" s="18" customFormat="1" x14ac:dyDescent="0.25">
      <c r="B79" s="322"/>
      <c r="G79" s="285" t="s">
        <v>405</v>
      </c>
      <c r="H79" s="804" t="s">
        <v>237</v>
      </c>
      <c r="I79" s="804"/>
      <c r="J79" s="804"/>
      <c r="K79" s="379"/>
    </row>
    <row r="80" spans="2:11" s="18" customFormat="1" x14ac:dyDescent="0.25">
      <c r="B80" s="322"/>
      <c r="H80" s="372" t="str">
        <f>RIGHT('פרטי התאגיד'!$G$11,4)</f>
        <v>2024</v>
      </c>
      <c r="I80" s="372"/>
      <c r="J80" s="372" t="str">
        <f>RIGHT('פרטי התאגיד'!$G$13,4)</f>
        <v>2023</v>
      </c>
      <c r="K80" s="380"/>
    </row>
    <row r="81" spans="2:11" s="18" customFormat="1" x14ac:dyDescent="0.25">
      <c r="B81" s="322"/>
      <c r="D81" s="18" t="s">
        <v>406</v>
      </c>
      <c r="G81" s="495" t="s">
        <v>277</v>
      </c>
      <c r="H81" s="117">
        <f>+H99</f>
        <v>0</v>
      </c>
      <c r="I81" s="117"/>
      <c r="J81" s="117">
        <f>+J99</f>
        <v>0</v>
      </c>
      <c r="K81" s="231"/>
    </row>
    <row r="82" spans="2:11" s="18" customFormat="1" x14ac:dyDescent="0.25">
      <c r="B82" s="322"/>
      <c r="D82" s="18" t="s">
        <v>407</v>
      </c>
      <c r="G82" s="495" t="s">
        <v>277</v>
      </c>
      <c r="H82" s="117">
        <f>+H111</f>
        <v>0</v>
      </c>
      <c r="I82" s="117"/>
      <c r="J82" s="117">
        <f>+J111</f>
        <v>0</v>
      </c>
      <c r="K82" s="231"/>
    </row>
    <row r="83" spans="2:11" s="18" customFormat="1" x14ac:dyDescent="0.25">
      <c r="B83" s="322"/>
      <c r="D83" s="18" t="s">
        <v>408</v>
      </c>
      <c r="G83" s="495" t="s">
        <v>277</v>
      </c>
      <c r="H83" s="117">
        <f>H123</f>
        <v>0</v>
      </c>
      <c r="I83" s="117"/>
      <c r="J83" s="117">
        <f>J123</f>
        <v>0</v>
      </c>
      <c r="K83" s="231"/>
    </row>
    <row r="84" spans="2:11" s="18" customFormat="1" x14ac:dyDescent="0.25">
      <c r="B84" s="322"/>
      <c r="D84" s="18" t="s">
        <v>138</v>
      </c>
      <c r="H84" s="375">
        <f>SUM(H81:H83)</f>
        <v>0</v>
      </c>
      <c r="I84" s="162"/>
      <c r="J84" s="375">
        <f>SUM(J81:J83)</f>
        <v>0</v>
      </c>
      <c r="K84" s="231"/>
    </row>
    <row r="85" spans="2:11" s="18" customFormat="1" x14ac:dyDescent="0.25">
      <c r="B85" s="322"/>
      <c r="D85" s="18" t="s">
        <v>409</v>
      </c>
      <c r="H85" s="117">
        <f>-(H93+H105+H117)</f>
        <v>0</v>
      </c>
      <c r="I85" s="117"/>
      <c r="J85" s="117">
        <f>-(J93+J105+J117)</f>
        <v>0</v>
      </c>
      <c r="K85" s="231"/>
    </row>
    <row r="86" spans="2:11" s="18" customFormat="1" x14ac:dyDescent="0.25">
      <c r="B86" s="322"/>
      <c r="H86" s="339">
        <f>+H84+H85</f>
        <v>0</v>
      </c>
      <c r="I86" s="162"/>
      <c r="J86" s="339">
        <f>+J84+J85</f>
        <v>0</v>
      </c>
      <c r="K86" s="231"/>
    </row>
    <row r="87" spans="2:11" s="18" customFormat="1" x14ac:dyDescent="0.25">
      <c r="B87" s="322"/>
      <c r="H87" s="117"/>
      <c r="I87" s="117"/>
      <c r="J87" s="117"/>
      <c r="K87" s="231"/>
    </row>
    <row r="88" spans="2:11" s="18" customFormat="1" x14ac:dyDescent="0.25">
      <c r="B88" s="322"/>
      <c r="H88" s="117"/>
      <c r="I88" s="117"/>
      <c r="J88" s="117"/>
      <c r="K88" s="231"/>
    </row>
    <row r="89" spans="2:11" s="18" customFormat="1" x14ac:dyDescent="0.25">
      <c r="B89" s="322"/>
      <c r="D89" s="283" t="s">
        <v>410</v>
      </c>
      <c r="H89" s="117"/>
      <c r="I89" s="117"/>
      <c r="J89" s="117"/>
      <c r="K89" s="231"/>
    </row>
    <row r="90" spans="2:11" s="18" customFormat="1" x14ac:dyDescent="0.25">
      <c r="B90" s="322"/>
      <c r="H90" s="117"/>
      <c r="I90" s="117"/>
      <c r="J90" s="117"/>
      <c r="K90" s="231"/>
    </row>
    <row r="91" spans="2:11" s="18" customFormat="1" x14ac:dyDescent="0.25">
      <c r="B91" s="322"/>
      <c r="H91" s="804" t="s">
        <v>237</v>
      </c>
      <c r="I91" s="804"/>
      <c r="J91" s="804"/>
      <c r="K91" s="231"/>
    </row>
    <row r="92" spans="2:11" s="18" customFormat="1" x14ac:dyDescent="0.25">
      <c r="B92" s="322"/>
      <c r="H92" s="372" t="str">
        <f>RIGHT('פרטי התאגיד'!$G$11,4)</f>
        <v>2024</v>
      </c>
      <c r="I92" s="372"/>
      <c r="J92" s="372" t="str">
        <f>RIGHT('פרטי התאגיד'!$G$13,4)</f>
        <v>2023</v>
      </c>
      <c r="K92" s="231"/>
    </row>
    <row r="93" spans="2:11" s="18" customFormat="1" x14ac:dyDescent="0.25">
      <c r="B93" s="322"/>
      <c r="D93" s="18" t="s">
        <v>411</v>
      </c>
      <c r="H93" s="323"/>
      <c r="I93" s="372"/>
      <c r="J93" s="323"/>
      <c r="K93" s="231"/>
    </row>
    <row r="94" spans="2:11" s="18" customFormat="1" x14ac:dyDescent="0.25">
      <c r="B94" s="322"/>
      <c r="D94" s="18" t="s">
        <v>412</v>
      </c>
      <c r="H94" s="323"/>
      <c r="I94" s="372"/>
      <c r="J94" s="323"/>
      <c r="K94" s="231"/>
    </row>
    <row r="95" spans="2:11" s="18" customFormat="1" x14ac:dyDescent="0.25">
      <c r="B95" s="322"/>
      <c r="D95" s="18" t="s">
        <v>413</v>
      </c>
      <c r="H95" s="323"/>
      <c r="I95" s="372"/>
      <c r="J95" s="323"/>
      <c r="K95" s="231"/>
    </row>
    <row r="96" spans="2:11" s="18" customFormat="1" x14ac:dyDescent="0.25">
      <c r="B96" s="322"/>
      <c r="D96" s="18" t="s">
        <v>414</v>
      </c>
      <c r="H96" s="323"/>
      <c r="I96" s="372"/>
      <c r="J96" s="323"/>
      <c r="K96" s="231"/>
    </row>
    <row r="97" spans="2:11" s="18" customFormat="1" x14ac:dyDescent="0.25">
      <c r="B97" s="322"/>
      <c r="D97" s="18" t="s">
        <v>415</v>
      </c>
      <c r="H97" s="323"/>
      <c r="I97" s="372"/>
      <c r="J97" s="323"/>
      <c r="K97" s="231"/>
    </row>
    <row r="98" spans="2:11" s="18" customFormat="1" x14ac:dyDescent="0.25">
      <c r="B98" s="322"/>
      <c r="D98" s="18" t="s">
        <v>416</v>
      </c>
      <c r="H98" s="323"/>
      <c r="I98" s="372"/>
      <c r="J98" s="323"/>
      <c r="K98" s="231"/>
    </row>
    <row r="99" spans="2:11" s="18" customFormat="1" x14ac:dyDescent="0.25">
      <c r="B99" s="322"/>
      <c r="H99" s="339">
        <f>SUM(H93:H98)</f>
        <v>0</v>
      </c>
      <c r="I99" s="162"/>
      <c r="J99" s="339">
        <f>SUM(J93:J98)</f>
        <v>0</v>
      </c>
      <c r="K99" s="231"/>
    </row>
    <row r="100" spans="2:11" s="18" customFormat="1" x14ac:dyDescent="0.25">
      <c r="B100" s="322"/>
      <c r="H100" s="117"/>
      <c r="I100" s="117"/>
      <c r="J100" s="117"/>
      <c r="K100" s="231"/>
    </row>
    <row r="101" spans="2:11" s="18" customFormat="1" x14ac:dyDescent="0.25">
      <c r="B101" s="322"/>
      <c r="D101" s="283" t="s">
        <v>417</v>
      </c>
      <c r="H101" s="117"/>
      <c r="I101" s="117"/>
      <c r="J101" s="117"/>
      <c r="K101" s="231"/>
    </row>
    <row r="102" spans="2:11" s="18" customFormat="1" x14ac:dyDescent="0.25">
      <c r="B102" s="322"/>
      <c r="H102" s="117"/>
      <c r="I102" s="117"/>
      <c r="J102" s="117"/>
      <c r="K102" s="231"/>
    </row>
    <row r="103" spans="2:11" s="18" customFormat="1" x14ac:dyDescent="0.25">
      <c r="B103" s="322"/>
      <c r="H103" s="804" t="s">
        <v>237</v>
      </c>
      <c r="I103" s="804"/>
      <c r="J103" s="804"/>
      <c r="K103" s="231"/>
    </row>
    <row r="104" spans="2:11" s="18" customFormat="1" x14ac:dyDescent="0.25">
      <c r="B104" s="322"/>
      <c r="H104" s="372" t="str">
        <f>RIGHT('פרטי התאגיד'!$G$11,4)</f>
        <v>2024</v>
      </c>
      <c r="I104" s="372"/>
      <c r="J104" s="372" t="str">
        <f>RIGHT('פרטי התאגיד'!$G$13,4)</f>
        <v>2023</v>
      </c>
      <c r="K104" s="231"/>
    </row>
    <row r="105" spans="2:11" s="18" customFormat="1" x14ac:dyDescent="0.25">
      <c r="B105" s="322"/>
      <c r="D105" s="18" t="s">
        <v>411</v>
      </c>
      <c r="H105" s="323"/>
      <c r="I105" s="372"/>
      <c r="J105" s="323"/>
      <c r="K105" s="231"/>
    </row>
    <row r="106" spans="2:11" s="18" customFormat="1" x14ac:dyDescent="0.25">
      <c r="B106" s="322"/>
      <c r="D106" s="18" t="s">
        <v>412</v>
      </c>
      <c r="H106" s="323"/>
      <c r="I106" s="372"/>
      <c r="J106" s="323"/>
      <c r="K106" s="231"/>
    </row>
    <row r="107" spans="2:11" s="18" customFormat="1" x14ac:dyDescent="0.25">
      <c r="B107" s="322"/>
      <c r="D107" s="18" t="s">
        <v>413</v>
      </c>
      <c r="H107" s="323"/>
      <c r="I107" s="372"/>
      <c r="J107" s="323"/>
      <c r="K107" s="231"/>
    </row>
    <row r="108" spans="2:11" s="18" customFormat="1" x14ac:dyDescent="0.25">
      <c r="B108" s="322"/>
      <c r="D108" s="18" t="s">
        <v>414</v>
      </c>
      <c r="H108" s="323"/>
      <c r="I108" s="372"/>
      <c r="J108" s="323"/>
      <c r="K108" s="231"/>
    </row>
    <row r="109" spans="2:11" s="18" customFormat="1" x14ac:dyDescent="0.25">
      <c r="B109" s="322"/>
      <c r="D109" s="18" t="s">
        <v>415</v>
      </c>
      <c r="H109" s="323"/>
      <c r="I109" s="372"/>
      <c r="J109" s="323"/>
      <c r="K109" s="231"/>
    </row>
    <row r="110" spans="2:11" s="18" customFormat="1" x14ac:dyDescent="0.25">
      <c r="B110" s="322"/>
      <c r="D110" s="18" t="s">
        <v>416</v>
      </c>
      <c r="H110" s="323"/>
      <c r="I110" s="372"/>
      <c r="J110" s="323"/>
      <c r="K110" s="231"/>
    </row>
    <row r="111" spans="2:11" s="18" customFormat="1" x14ac:dyDescent="0.25">
      <c r="B111" s="322"/>
      <c r="H111" s="339">
        <f>SUM(H105:H110)</f>
        <v>0</v>
      </c>
      <c r="I111" s="162"/>
      <c r="J111" s="339">
        <f>SUM(J105:J110)</f>
        <v>0</v>
      </c>
      <c r="K111" s="231"/>
    </row>
    <row r="112" spans="2:11" s="18" customFormat="1" x14ac:dyDescent="0.25">
      <c r="B112" s="322"/>
      <c r="H112" s="117"/>
      <c r="I112" s="117"/>
      <c r="J112" s="117"/>
      <c r="K112" s="231"/>
    </row>
    <row r="113" spans="2:11" s="18" customFormat="1" x14ac:dyDescent="0.25">
      <c r="B113" s="322"/>
      <c r="D113" s="283" t="s">
        <v>418</v>
      </c>
      <c r="H113" s="117"/>
      <c r="I113" s="117"/>
      <c r="J113" s="117"/>
      <c r="K113" s="231"/>
    </row>
    <row r="114" spans="2:11" s="18" customFormat="1" x14ac:dyDescent="0.25">
      <c r="B114" s="322"/>
      <c r="H114" s="117"/>
      <c r="I114" s="117"/>
      <c r="J114" s="117"/>
      <c r="K114" s="231"/>
    </row>
    <row r="115" spans="2:11" s="18" customFormat="1" x14ac:dyDescent="0.25">
      <c r="B115" s="322"/>
      <c r="H115" s="804" t="s">
        <v>237</v>
      </c>
      <c r="I115" s="804"/>
      <c r="J115" s="804"/>
      <c r="K115" s="231"/>
    </row>
    <row r="116" spans="2:11" s="18" customFormat="1" x14ac:dyDescent="0.25">
      <c r="B116" s="322"/>
      <c r="H116" s="372" t="str">
        <f>RIGHT('פרטי התאגיד'!$G$11,4)</f>
        <v>2024</v>
      </c>
      <c r="I116" s="372"/>
      <c r="J116" s="372" t="str">
        <f>RIGHT('פרטי התאגיד'!$G$13,4)</f>
        <v>2023</v>
      </c>
      <c r="K116" s="231"/>
    </row>
    <row r="117" spans="2:11" s="18" customFormat="1" x14ac:dyDescent="0.25">
      <c r="B117" s="322"/>
      <c r="D117" s="18" t="s">
        <v>411</v>
      </c>
      <c r="H117" s="323"/>
      <c r="I117" s="372"/>
      <c r="J117" s="323"/>
      <c r="K117" s="231"/>
    </row>
    <row r="118" spans="2:11" s="18" customFormat="1" x14ac:dyDescent="0.25">
      <c r="B118" s="322"/>
      <c r="D118" s="18" t="s">
        <v>412</v>
      </c>
      <c r="H118" s="323"/>
      <c r="I118" s="372"/>
      <c r="J118" s="323"/>
      <c r="K118" s="231"/>
    </row>
    <row r="119" spans="2:11" s="18" customFormat="1" x14ac:dyDescent="0.25">
      <c r="B119" s="322"/>
      <c r="D119" s="18" t="s">
        <v>413</v>
      </c>
      <c r="H119" s="323"/>
      <c r="I119" s="372"/>
      <c r="J119" s="323"/>
      <c r="K119" s="231"/>
    </row>
    <row r="120" spans="2:11" s="18" customFormat="1" x14ac:dyDescent="0.25">
      <c r="B120" s="322"/>
      <c r="D120" s="18" t="s">
        <v>414</v>
      </c>
      <c r="H120" s="323"/>
      <c r="I120" s="372"/>
      <c r="J120" s="323"/>
      <c r="K120" s="231"/>
    </row>
    <row r="121" spans="2:11" s="18" customFormat="1" x14ac:dyDescent="0.25">
      <c r="B121" s="322"/>
      <c r="D121" s="18" t="s">
        <v>415</v>
      </c>
      <c r="H121" s="323"/>
      <c r="I121" s="372"/>
      <c r="J121" s="323"/>
      <c r="K121" s="231"/>
    </row>
    <row r="122" spans="2:11" s="18" customFormat="1" x14ac:dyDescent="0.25">
      <c r="B122" s="322"/>
      <c r="D122" s="18" t="s">
        <v>416</v>
      </c>
      <c r="H122" s="323"/>
      <c r="I122" s="372"/>
      <c r="J122" s="323"/>
      <c r="K122" s="231"/>
    </row>
    <row r="123" spans="2:11" s="18" customFormat="1" x14ac:dyDescent="0.25">
      <c r="B123" s="322"/>
      <c r="H123" s="339">
        <f>SUM(H117:H122)</f>
        <v>0</v>
      </c>
      <c r="I123" s="162"/>
      <c r="J123" s="339">
        <f>SUM(J117:J122)</f>
        <v>0</v>
      </c>
      <c r="K123" s="231"/>
    </row>
    <row r="124" spans="2:11" s="18" customFormat="1" x14ac:dyDescent="0.25">
      <c r="B124" s="322"/>
      <c r="H124" s="117"/>
      <c r="I124" s="117"/>
      <c r="J124" s="117"/>
      <c r="K124" s="231"/>
    </row>
    <row r="125" spans="2:11" s="18" customFormat="1" x14ac:dyDescent="0.25">
      <c r="B125" s="322"/>
      <c r="D125" s="285" t="s">
        <v>419</v>
      </c>
      <c r="H125" s="117"/>
      <c r="I125" s="117"/>
      <c r="J125" s="117"/>
      <c r="K125" s="231"/>
    </row>
    <row r="126" spans="2:11" s="18" customFormat="1" x14ac:dyDescent="0.25">
      <c r="B126" s="322"/>
      <c r="D126" s="811" t="s">
        <v>788</v>
      </c>
      <c r="E126" s="812"/>
      <c r="F126" s="812"/>
      <c r="G126" s="812"/>
      <c r="H126" s="812"/>
      <c r="I126" s="812"/>
      <c r="J126" s="813"/>
      <c r="K126" s="231"/>
    </row>
    <row r="127" spans="2:11" s="18" customFormat="1" x14ac:dyDescent="0.25">
      <c r="B127" s="322"/>
      <c r="D127" s="814"/>
      <c r="E127" s="778"/>
      <c r="F127" s="778"/>
      <c r="G127" s="778"/>
      <c r="H127" s="778"/>
      <c r="I127" s="778"/>
      <c r="J127" s="815"/>
      <c r="K127" s="231"/>
    </row>
    <row r="128" spans="2:11" s="18" customFormat="1" x14ac:dyDescent="0.25">
      <c r="B128" s="322"/>
      <c r="D128" s="814"/>
      <c r="E128" s="778"/>
      <c r="F128" s="778"/>
      <c r="G128" s="778"/>
      <c r="H128" s="778"/>
      <c r="I128" s="778"/>
      <c r="J128" s="815"/>
      <c r="K128" s="231"/>
    </row>
    <row r="129" spans="2:11" s="18" customFormat="1" x14ac:dyDescent="0.25">
      <c r="B129" s="322"/>
      <c r="D129" s="814"/>
      <c r="E129" s="778"/>
      <c r="F129" s="778"/>
      <c r="G129" s="778"/>
      <c r="H129" s="778"/>
      <c r="I129" s="778"/>
      <c r="J129" s="815"/>
      <c r="K129" s="231"/>
    </row>
    <row r="130" spans="2:11" s="18" customFormat="1" x14ac:dyDescent="0.25">
      <c r="B130" s="322"/>
      <c r="D130" s="816"/>
      <c r="E130" s="817"/>
      <c r="F130" s="817"/>
      <c r="G130" s="817"/>
      <c r="H130" s="817"/>
      <c r="I130" s="817"/>
      <c r="J130" s="818"/>
      <c r="K130" s="231"/>
    </row>
    <row r="131" spans="2:11" s="18" customFormat="1" x14ac:dyDescent="0.25">
      <c r="B131" s="322"/>
      <c r="D131" s="284"/>
      <c r="E131" s="284"/>
      <c r="F131" s="284"/>
      <c r="G131" s="284"/>
      <c r="H131" s="306"/>
      <c r="I131" s="306"/>
      <c r="J131" s="306"/>
      <c r="K131" s="231"/>
    </row>
    <row r="132" spans="2:11" s="18" customFormat="1" x14ac:dyDescent="0.25">
      <c r="B132" s="322"/>
      <c r="D132" s="284"/>
      <c r="E132" s="284"/>
      <c r="F132" s="284"/>
      <c r="G132" s="284"/>
      <c r="H132" s="306"/>
      <c r="I132" s="306"/>
      <c r="J132" s="306"/>
      <c r="K132" s="231"/>
    </row>
    <row r="133" spans="2:11" s="293" customFormat="1" ht="21" x14ac:dyDescent="0.45">
      <c r="B133" s="389" t="s">
        <v>420</v>
      </c>
      <c r="C133" s="296" t="s">
        <v>207</v>
      </c>
      <c r="D133" s="294" t="s">
        <v>421</v>
      </c>
      <c r="H133" s="348"/>
      <c r="I133" s="348"/>
      <c r="J133" s="348"/>
      <c r="K133" s="310"/>
    </row>
    <row r="134" spans="2:11" s="18" customFormat="1" x14ac:dyDescent="0.25">
      <c r="B134" s="322"/>
      <c r="H134" s="117"/>
      <c r="I134" s="117"/>
      <c r="J134" s="117"/>
      <c r="K134" s="231"/>
    </row>
    <row r="135" spans="2:11" s="18" customFormat="1" x14ac:dyDescent="0.25">
      <c r="B135" s="322"/>
      <c r="D135" s="285" t="s">
        <v>404</v>
      </c>
      <c r="H135" s="117"/>
      <c r="I135" s="117"/>
      <c r="J135" s="117"/>
      <c r="K135" s="231"/>
    </row>
    <row r="136" spans="2:11" s="18" customFormat="1" x14ac:dyDescent="0.25">
      <c r="B136" s="322"/>
      <c r="G136" s="285" t="s">
        <v>405</v>
      </c>
      <c r="H136" s="804" t="s">
        <v>237</v>
      </c>
      <c r="I136" s="804"/>
      <c r="J136" s="804"/>
      <c r="K136" s="379"/>
    </row>
    <row r="137" spans="2:11" s="18" customFormat="1" x14ac:dyDescent="0.25">
      <c r="B137" s="322"/>
      <c r="H137" s="372" t="str">
        <f>RIGHT('פרטי התאגיד'!$G$11,4)</f>
        <v>2024</v>
      </c>
      <c r="I137" s="372"/>
      <c r="J137" s="372" t="str">
        <f>RIGHT('פרטי התאגיד'!$G$13,4)</f>
        <v>2023</v>
      </c>
      <c r="K137" s="380"/>
    </row>
    <row r="138" spans="2:11" s="18" customFormat="1" x14ac:dyDescent="0.25">
      <c r="B138" s="322"/>
      <c r="D138" s="18" t="s">
        <v>422</v>
      </c>
      <c r="G138" s="495" t="s">
        <v>277</v>
      </c>
      <c r="H138" s="117">
        <f>H154</f>
        <v>0</v>
      </c>
      <c r="I138" s="117"/>
      <c r="J138" s="117">
        <f>J154</f>
        <v>0</v>
      </c>
      <c r="K138" s="231"/>
    </row>
    <row r="139" spans="2:11" s="18" customFormat="1" x14ac:dyDescent="0.25">
      <c r="B139" s="322"/>
      <c r="D139" s="18" t="s">
        <v>423</v>
      </c>
      <c r="G139" s="495" t="s">
        <v>277</v>
      </c>
      <c r="H139" s="117">
        <f>H166</f>
        <v>0</v>
      </c>
      <c r="I139" s="117"/>
      <c r="J139" s="117">
        <f>J166</f>
        <v>0</v>
      </c>
      <c r="K139" s="231"/>
    </row>
    <row r="140" spans="2:11" s="18" customFormat="1" x14ac:dyDescent="0.25">
      <c r="B140" s="322"/>
      <c r="D140" s="18" t="s">
        <v>138</v>
      </c>
      <c r="H140" s="375">
        <f>SUM(H138:H139)</f>
        <v>0</v>
      </c>
      <c r="I140" s="375"/>
      <c r="J140" s="375">
        <f>SUM(J138:J139)</f>
        <v>0</v>
      </c>
      <c r="K140" s="231"/>
    </row>
    <row r="141" spans="2:11" s="18" customFormat="1" x14ac:dyDescent="0.25">
      <c r="B141" s="322"/>
      <c r="D141" s="18" t="s">
        <v>409</v>
      </c>
      <c r="H141" s="117">
        <f>-(H148+H160)</f>
        <v>0</v>
      </c>
      <c r="I141" s="117"/>
      <c r="J141" s="117">
        <f>-(J148+J160)</f>
        <v>0</v>
      </c>
      <c r="K141" s="231"/>
    </row>
    <row r="142" spans="2:11" s="18" customFormat="1" x14ac:dyDescent="0.25">
      <c r="B142" s="322"/>
      <c r="H142" s="339">
        <f>H140+H141</f>
        <v>0</v>
      </c>
      <c r="I142" s="162"/>
      <c r="J142" s="339">
        <f>J140+J141</f>
        <v>0</v>
      </c>
      <c r="K142" s="231"/>
    </row>
    <row r="143" spans="2:11" s="18" customFormat="1" x14ac:dyDescent="0.25">
      <c r="B143" s="322"/>
      <c r="H143" s="117"/>
      <c r="I143" s="117"/>
      <c r="J143" s="117"/>
      <c r="K143" s="231"/>
    </row>
    <row r="144" spans="2:11" s="18" customFormat="1" x14ac:dyDescent="0.25">
      <c r="B144" s="322"/>
      <c r="D144" s="283" t="s">
        <v>424</v>
      </c>
      <c r="H144" s="117"/>
      <c r="I144" s="117"/>
      <c r="J144" s="117"/>
      <c r="K144" s="231"/>
    </row>
    <row r="145" spans="2:11" s="18" customFormat="1" x14ac:dyDescent="0.25">
      <c r="B145" s="322"/>
      <c r="H145" s="117"/>
      <c r="I145" s="117"/>
      <c r="J145" s="117"/>
      <c r="K145" s="231"/>
    </row>
    <row r="146" spans="2:11" s="18" customFormat="1" x14ac:dyDescent="0.25">
      <c r="B146" s="322"/>
      <c r="H146" s="804" t="s">
        <v>237</v>
      </c>
      <c r="I146" s="804"/>
      <c r="J146" s="804"/>
      <c r="K146" s="231"/>
    </row>
    <row r="147" spans="2:11" s="18" customFormat="1" x14ac:dyDescent="0.25">
      <c r="B147" s="322"/>
      <c r="H147" s="372" t="str">
        <f>RIGHT('פרטי התאגיד'!$G$11,4)</f>
        <v>2024</v>
      </c>
      <c r="I147" s="372"/>
      <c r="J147" s="372" t="str">
        <f>RIGHT('פרטי התאגיד'!$G$13,4)</f>
        <v>2023</v>
      </c>
      <c r="K147" s="231"/>
    </row>
    <row r="148" spans="2:11" s="18" customFormat="1" x14ac:dyDescent="0.25">
      <c r="B148" s="322"/>
      <c r="D148" s="18" t="s">
        <v>411</v>
      </c>
      <c r="H148" s="323"/>
      <c r="I148" s="372"/>
      <c r="J148" s="323"/>
      <c r="K148" s="231"/>
    </row>
    <row r="149" spans="2:11" s="18" customFormat="1" x14ac:dyDescent="0.25">
      <c r="B149" s="322"/>
      <c r="D149" s="18" t="s">
        <v>412</v>
      </c>
      <c r="H149" s="323"/>
      <c r="I149" s="372"/>
      <c r="J149" s="323"/>
      <c r="K149" s="231"/>
    </row>
    <row r="150" spans="2:11" s="18" customFormat="1" x14ac:dyDescent="0.25">
      <c r="B150" s="322"/>
      <c r="D150" s="18" t="s">
        <v>413</v>
      </c>
      <c r="H150" s="323"/>
      <c r="I150" s="372"/>
      <c r="J150" s="323"/>
      <c r="K150" s="231"/>
    </row>
    <row r="151" spans="2:11" s="18" customFormat="1" x14ac:dyDescent="0.25">
      <c r="B151" s="322"/>
      <c r="D151" s="18" t="s">
        <v>414</v>
      </c>
      <c r="H151" s="323"/>
      <c r="I151" s="372"/>
      <c r="J151" s="323"/>
      <c r="K151" s="231"/>
    </row>
    <row r="152" spans="2:11" s="18" customFormat="1" x14ac:dyDescent="0.25">
      <c r="B152" s="322"/>
      <c r="D152" s="18" t="s">
        <v>415</v>
      </c>
      <c r="H152" s="323"/>
      <c r="I152" s="372"/>
      <c r="J152" s="323"/>
      <c r="K152" s="231"/>
    </row>
    <row r="153" spans="2:11" s="18" customFormat="1" x14ac:dyDescent="0.25">
      <c r="B153" s="322"/>
      <c r="D153" s="18" t="s">
        <v>416</v>
      </c>
      <c r="H153" s="323"/>
      <c r="I153" s="372"/>
      <c r="J153" s="323"/>
      <c r="K153" s="231"/>
    </row>
    <row r="154" spans="2:11" s="18" customFormat="1" x14ac:dyDescent="0.25">
      <c r="B154" s="322"/>
      <c r="H154" s="339">
        <f>SUM(H148:H153)</f>
        <v>0</v>
      </c>
      <c r="I154" s="162"/>
      <c r="J154" s="339">
        <f>SUM(J148:J153)</f>
        <v>0</v>
      </c>
      <c r="K154" s="231"/>
    </row>
    <row r="155" spans="2:11" s="18" customFormat="1" x14ac:dyDescent="0.25">
      <c r="B155" s="322"/>
      <c r="H155" s="117"/>
      <c r="I155" s="117"/>
      <c r="J155" s="117"/>
      <c r="K155" s="231"/>
    </row>
    <row r="156" spans="2:11" s="18" customFormat="1" x14ac:dyDescent="0.25">
      <c r="B156" s="322"/>
      <c r="D156" s="283" t="s">
        <v>425</v>
      </c>
      <c r="H156" s="117"/>
      <c r="I156" s="117"/>
      <c r="J156" s="117"/>
      <c r="K156" s="231"/>
    </row>
    <row r="157" spans="2:11" s="18" customFormat="1" x14ac:dyDescent="0.25">
      <c r="B157" s="322"/>
      <c r="H157" s="117"/>
      <c r="I157" s="117"/>
      <c r="J157" s="117"/>
      <c r="K157" s="231"/>
    </row>
    <row r="158" spans="2:11" s="18" customFormat="1" x14ac:dyDescent="0.25">
      <c r="B158" s="322"/>
      <c r="H158" s="804" t="s">
        <v>237</v>
      </c>
      <c r="I158" s="804"/>
      <c r="J158" s="804"/>
      <c r="K158" s="231"/>
    </row>
    <row r="159" spans="2:11" s="18" customFormat="1" x14ac:dyDescent="0.25">
      <c r="B159" s="322"/>
      <c r="H159" s="372" t="str">
        <f>RIGHT('פרטי התאגיד'!$G$11,4)</f>
        <v>2024</v>
      </c>
      <c r="I159" s="372"/>
      <c r="J159" s="372" t="str">
        <f>RIGHT('פרטי התאגיד'!$G$13,4)</f>
        <v>2023</v>
      </c>
      <c r="K159" s="231"/>
    </row>
    <row r="160" spans="2:11" s="18" customFormat="1" x14ac:dyDescent="0.25">
      <c r="B160" s="322"/>
      <c r="D160" s="18" t="s">
        <v>411</v>
      </c>
      <c r="H160" s="323"/>
      <c r="I160" s="372"/>
      <c r="J160" s="323"/>
      <c r="K160" s="231"/>
    </row>
    <row r="161" spans="2:11" s="18" customFormat="1" x14ac:dyDescent="0.25">
      <c r="B161" s="322"/>
      <c r="D161" s="18" t="s">
        <v>412</v>
      </c>
      <c r="H161" s="323"/>
      <c r="I161" s="372"/>
      <c r="J161" s="323"/>
      <c r="K161" s="231"/>
    </row>
    <row r="162" spans="2:11" s="18" customFormat="1" x14ac:dyDescent="0.25">
      <c r="B162" s="322"/>
      <c r="D162" s="18" t="s">
        <v>413</v>
      </c>
      <c r="H162" s="323"/>
      <c r="I162" s="372"/>
      <c r="J162" s="323"/>
      <c r="K162" s="231"/>
    </row>
    <row r="163" spans="2:11" s="18" customFormat="1" x14ac:dyDescent="0.25">
      <c r="B163" s="322"/>
      <c r="D163" s="18" t="s">
        <v>414</v>
      </c>
      <c r="H163" s="323"/>
      <c r="I163" s="372"/>
      <c r="J163" s="323"/>
      <c r="K163" s="231"/>
    </row>
    <row r="164" spans="2:11" s="18" customFormat="1" x14ac:dyDescent="0.25">
      <c r="B164" s="322"/>
      <c r="D164" s="18" t="s">
        <v>415</v>
      </c>
      <c r="H164" s="323"/>
      <c r="I164" s="372"/>
      <c r="J164" s="323"/>
      <c r="K164" s="231"/>
    </row>
    <row r="165" spans="2:11" s="18" customFormat="1" x14ac:dyDescent="0.25">
      <c r="B165" s="322"/>
      <c r="D165" s="18" t="s">
        <v>416</v>
      </c>
      <c r="H165" s="323"/>
      <c r="I165" s="372"/>
      <c r="J165" s="323"/>
      <c r="K165" s="231"/>
    </row>
    <row r="166" spans="2:11" s="18" customFormat="1" x14ac:dyDescent="0.25">
      <c r="B166" s="322"/>
      <c r="H166" s="339">
        <f>SUM(H160:H165)</f>
        <v>0</v>
      </c>
      <c r="I166" s="162"/>
      <c r="J166" s="339">
        <f>SUM(J160:J165)</f>
        <v>0</v>
      </c>
      <c r="K166" s="231"/>
    </row>
    <row r="167" spans="2:11" s="18" customFormat="1" x14ac:dyDescent="0.25">
      <c r="B167" s="322"/>
      <c r="H167" s="117"/>
      <c r="I167" s="117"/>
      <c r="J167" s="117"/>
      <c r="K167" s="231"/>
    </row>
    <row r="168" spans="2:11" s="18" customFormat="1" x14ac:dyDescent="0.25">
      <c r="B168" s="322"/>
      <c r="H168" s="117"/>
      <c r="I168" s="117"/>
      <c r="J168" s="117"/>
      <c r="K168" s="231"/>
    </row>
    <row r="169" spans="2:11" s="18" customFormat="1" x14ac:dyDescent="0.25">
      <c r="B169" s="322"/>
      <c r="D169" s="283" t="s">
        <v>426</v>
      </c>
      <c r="H169" s="117"/>
      <c r="I169" s="351"/>
      <c r="J169" s="351"/>
      <c r="K169" s="231"/>
    </row>
    <row r="170" spans="2:11" s="18" customFormat="1" x14ac:dyDescent="0.25">
      <c r="B170" s="322"/>
      <c r="D170" s="752" t="s">
        <v>788</v>
      </c>
      <c r="E170" s="753"/>
      <c r="F170" s="753"/>
      <c r="G170" s="753"/>
      <c r="H170" s="753"/>
      <c r="I170" s="753"/>
      <c r="J170" s="754"/>
      <c r="K170" s="231"/>
    </row>
    <row r="171" spans="2:11" s="18" customFormat="1" x14ac:dyDescent="0.25">
      <c r="B171" s="322"/>
      <c r="D171" s="755"/>
      <c r="E171" s="756"/>
      <c r="F171" s="756"/>
      <c r="G171" s="756"/>
      <c r="H171" s="756"/>
      <c r="I171" s="756"/>
      <c r="J171" s="757"/>
      <c r="K171" s="231"/>
    </row>
    <row r="172" spans="2:11" s="18" customFormat="1" x14ac:dyDescent="0.25">
      <c r="B172" s="322"/>
      <c r="D172" s="755"/>
      <c r="E172" s="756"/>
      <c r="F172" s="756"/>
      <c r="G172" s="756"/>
      <c r="H172" s="756"/>
      <c r="I172" s="756"/>
      <c r="J172" s="757"/>
      <c r="K172" s="231"/>
    </row>
    <row r="173" spans="2:11" s="18" customFormat="1" x14ac:dyDescent="0.25">
      <c r="B173" s="322"/>
      <c r="D173" s="755"/>
      <c r="E173" s="756"/>
      <c r="F173" s="756"/>
      <c r="G173" s="756"/>
      <c r="H173" s="756"/>
      <c r="I173" s="756"/>
      <c r="J173" s="757"/>
      <c r="K173" s="231"/>
    </row>
    <row r="174" spans="2:11" s="18" customFormat="1" x14ac:dyDescent="0.25">
      <c r="B174" s="322"/>
      <c r="D174" s="755"/>
      <c r="E174" s="756"/>
      <c r="F174" s="756"/>
      <c r="G174" s="756"/>
      <c r="H174" s="756"/>
      <c r="I174" s="756"/>
      <c r="J174" s="757"/>
      <c r="K174" s="231"/>
    </row>
    <row r="175" spans="2:11" s="18" customFormat="1" x14ac:dyDescent="0.25">
      <c r="B175" s="322"/>
      <c r="D175" s="758"/>
      <c r="E175" s="759"/>
      <c r="F175" s="759"/>
      <c r="G175" s="759"/>
      <c r="H175" s="759"/>
      <c r="I175" s="759"/>
      <c r="J175" s="760"/>
      <c r="K175" s="231"/>
    </row>
    <row r="176" spans="2:11" s="18" customFormat="1" x14ac:dyDescent="0.25">
      <c r="B176" s="322"/>
      <c r="H176" s="117"/>
      <c r="I176" s="117"/>
      <c r="J176" s="117"/>
      <c r="K176" s="231"/>
    </row>
    <row r="177" spans="2:11" s="18" customFormat="1" x14ac:dyDescent="0.25">
      <c r="B177" s="322"/>
      <c r="D177" s="284"/>
      <c r="E177" s="284"/>
      <c r="F177" s="284"/>
      <c r="G177" s="284"/>
      <c r="H177" s="306"/>
      <c r="I177" s="306"/>
      <c r="J177" s="306"/>
      <c r="K177" s="231"/>
    </row>
    <row r="178" spans="2:11" s="18" customFormat="1" ht="21" x14ac:dyDescent="0.45">
      <c r="B178" s="389" t="s">
        <v>427</v>
      </c>
      <c r="C178" s="296" t="s">
        <v>207</v>
      </c>
      <c r="D178" s="294" t="s">
        <v>428</v>
      </c>
      <c r="E178" s="293"/>
      <c r="F178" s="293"/>
      <c r="G178" s="293"/>
      <c r="H178" s="117"/>
      <c r="I178" s="117"/>
      <c r="J178" s="117"/>
      <c r="K178" s="231"/>
    </row>
    <row r="179" spans="2:11" s="18" customFormat="1" x14ac:dyDescent="0.25">
      <c r="B179" s="322"/>
      <c r="H179" s="117"/>
      <c r="I179" s="117"/>
      <c r="J179" s="117"/>
      <c r="K179" s="231"/>
    </row>
    <row r="180" spans="2:11" s="18" customFormat="1" x14ac:dyDescent="0.25">
      <c r="B180" s="322"/>
      <c r="D180" s="285" t="s">
        <v>404</v>
      </c>
      <c r="H180" s="117"/>
      <c r="I180" s="117"/>
      <c r="J180" s="117"/>
      <c r="K180" s="231"/>
    </row>
    <row r="181" spans="2:11" s="18" customFormat="1" x14ac:dyDescent="0.25">
      <c r="B181" s="322"/>
      <c r="G181" s="285" t="s">
        <v>405</v>
      </c>
      <c r="H181" s="804" t="s">
        <v>237</v>
      </c>
      <c r="I181" s="804"/>
      <c r="J181" s="804"/>
      <c r="K181" s="379"/>
    </row>
    <row r="182" spans="2:11" s="18" customFormat="1" x14ac:dyDescent="0.25">
      <c r="B182" s="322"/>
      <c r="H182" s="372" t="str">
        <f>RIGHT('פרטי התאגיד'!$G$11,4)</f>
        <v>2024</v>
      </c>
      <c r="I182" s="372"/>
      <c r="J182" s="372" t="str">
        <f>RIGHT('פרטי התאגיד'!$G$13,4)</f>
        <v>2023</v>
      </c>
      <c r="K182" s="380"/>
    </row>
    <row r="183" spans="2:11" s="18" customFormat="1" x14ac:dyDescent="0.25">
      <c r="B183" s="322"/>
      <c r="D183" s="18" t="s">
        <v>406</v>
      </c>
      <c r="G183" s="495" t="s">
        <v>277</v>
      </c>
      <c r="H183" s="117">
        <f>H201</f>
        <v>0</v>
      </c>
      <c r="I183" s="117"/>
      <c r="J183" s="117">
        <f>J201</f>
        <v>0</v>
      </c>
      <c r="K183" s="231"/>
    </row>
    <row r="184" spans="2:11" s="18" customFormat="1" x14ac:dyDescent="0.25">
      <c r="B184" s="322"/>
      <c r="D184" s="18" t="s">
        <v>407</v>
      </c>
      <c r="G184" s="495" t="s">
        <v>277</v>
      </c>
      <c r="H184" s="117">
        <f>H213</f>
        <v>0</v>
      </c>
      <c r="I184" s="117"/>
      <c r="J184" s="117">
        <f>J213</f>
        <v>0</v>
      </c>
      <c r="K184" s="231"/>
    </row>
    <row r="185" spans="2:11" s="18" customFormat="1" x14ac:dyDescent="0.25">
      <c r="B185" s="322"/>
      <c r="D185" s="18" t="s">
        <v>408</v>
      </c>
      <c r="G185" s="495">
        <v>2.6800000000000001E-2</v>
      </c>
      <c r="H185" s="117">
        <f>H225</f>
        <v>18624</v>
      </c>
      <c r="I185" s="117"/>
      <c r="J185" s="117">
        <f>J225</f>
        <v>24689</v>
      </c>
      <c r="K185" s="231"/>
    </row>
    <row r="186" spans="2:11" s="18" customFormat="1" x14ac:dyDescent="0.25">
      <c r="B186" s="322"/>
      <c r="D186" s="18" t="s">
        <v>429</v>
      </c>
      <c r="G186" s="495" t="s">
        <v>277</v>
      </c>
      <c r="H186" s="117">
        <f>H238</f>
        <v>0</v>
      </c>
      <c r="I186" s="117"/>
      <c r="J186" s="117">
        <f>J238</f>
        <v>0</v>
      </c>
      <c r="K186" s="231"/>
    </row>
    <row r="187" spans="2:11" s="18" customFormat="1" x14ac:dyDescent="0.25">
      <c r="B187" s="322"/>
      <c r="D187" s="18" t="s">
        <v>138</v>
      </c>
      <c r="H187" s="375">
        <f>SUM(H183:H186)</f>
        <v>18624</v>
      </c>
      <c r="I187" s="162"/>
      <c r="J187" s="375">
        <f>SUM(J183:J186)</f>
        <v>24689</v>
      </c>
      <c r="K187" s="231"/>
    </row>
    <row r="188" spans="2:11" s="18" customFormat="1" x14ac:dyDescent="0.25">
      <c r="B188" s="322"/>
      <c r="D188" s="18" t="s">
        <v>409</v>
      </c>
      <c r="H188" s="117">
        <f>-(H195+H207+H219+H232)</f>
        <v>-9954</v>
      </c>
      <c r="I188" s="117"/>
      <c r="J188" s="117">
        <f>-(J195+J207+J219+J232)</f>
        <v>-2557</v>
      </c>
      <c r="K188" s="231"/>
    </row>
    <row r="189" spans="2:11" s="18" customFormat="1" x14ac:dyDescent="0.25">
      <c r="B189" s="322"/>
      <c r="H189" s="339">
        <f>H187+H188</f>
        <v>8670</v>
      </c>
      <c r="I189" s="162"/>
      <c r="J189" s="339">
        <f>J187+J188</f>
        <v>22132</v>
      </c>
      <c r="K189" s="231"/>
    </row>
    <row r="190" spans="2:11" s="18" customFormat="1" x14ac:dyDescent="0.25">
      <c r="B190" s="322"/>
      <c r="H190" s="117"/>
      <c r="I190" s="117"/>
      <c r="J190" s="117"/>
      <c r="K190" s="231"/>
    </row>
    <row r="191" spans="2:11" s="18" customFormat="1" x14ac:dyDescent="0.25">
      <c r="B191" s="322"/>
      <c r="D191" s="283" t="s">
        <v>430</v>
      </c>
      <c r="H191" s="117"/>
      <c r="I191" s="117"/>
      <c r="J191" s="117"/>
      <c r="K191" s="231"/>
    </row>
    <row r="192" spans="2:11" s="18" customFormat="1" x14ac:dyDescent="0.25">
      <c r="B192" s="322"/>
      <c r="H192" s="117"/>
      <c r="I192" s="117"/>
      <c r="J192" s="117"/>
      <c r="K192" s="231"/>
    </row>
    <row r="193" spans="2:11" s="18" customFormat="1" x14ac:dyDescent="0.25">
      <c r="B193" s="322"/>
      <c r="H193" s="804" t="s">
        <v>237</v>
      </c>
      <c r="I193" s="804"/>
      <c r="J193" s="804"/>
      <c r="K193" s="231"/>
    </row>
    <row r="194" spans="2:11" s="18" customFormat="1" x14ac:dyDescent="0.25">
      <c r="B194" s="322"/>
      <c r="H194" s="372" t="str">
        <f>RIGHT('פרטי התאגיד'!$G$11,4)</f>
        <v>2024</v>
      </c>
      <c r="I194" s="372"/>
      <c r="J194" s="372" t="str">
        <f>RIGHT('פרטי התאגיד'!$G$13,4)</f>
        <v>2023</v>
      </c>
      <c r="K194" s="231"/>
    </row>
    <row r="195" spans="2:11" s="18" customFormat="1" x14ac:dyDescent="0.25">
      <c r="B195" s="322"/>
      <c r="D195" s="18" t="s">
        <v>411</v>
      </c>
      <c r="H195" s="323"/>
      <c r="I195" s="372"/>
      <c r="J195" s="323"/>
      <c r="K195" s="231"/>
    </row>
    <row r="196" spans="2:11" s="18" customFormat="1" x14ac:dyDescent="0.25">
      <c r="B196" s="322"/>
      <c r="D196" s="18" t="s">
        <v>412</v>
      </c>
      <c r="H196" s="323"/>
      <c r="I196" s="372"/>
      <c r="J196" s="323"/>
      <c r="K196" s="231"/>
    </row>
    <row r="197" spans="2:11" s="18" customFormat="1" x14ac:dyDescent="0.25">
      <c r="B197" s="322"/>
      <c r="D197" s="18" t="s">
        <v>413</v>
      </c>
      <c r="H197" s="323"/>
      <c r="I197" s="372"/>
      <c r="J197" s="323"/>
      <c r="K197" s="231"/>
    </row>
    <row r="198" spans="2:11" s="18" customFormat="1" x14ac:dyDescent="0.25">
      <c r="B198" s="322"/>
      <c r="D198" s="18" t="s">
        <v>414</v>
      </c>
      <c r="H198" s="323"/>
      <c r="I198" s="372"/>
      <c r="J198" s="323"/>
      <c r="K198" s="231"/>
    </row>
    <row r="199" spans="2:11" s="18" customFormat="1" x14ac:dyDescent="0.25">
      <c r="B199" s="322"/>
      <c r="D199" s="18" t="s">
        <v>415</v>
      </c>
      <c r="H199" s="323"/>
      <c r="I199" s="372"/>
      <c r="J199" s="323"/>
      <c r="K199" s="231"/>
    </row>
    <row r="200" spans="2:11" s="18" customFormat="1" x14ac:dyDescent="0.25">
      <c r="B200" s="322"/>
      <c r="D200" s="18" t="s">
        <v>416</v>
      </c>
      <c r="H200" s="323"/>
      <c r="I200" s="372"/>
      <c r="J200" s="323"/>
      <c r="K200" s="231"/>
    </row>
    <row r="201" spans="2:11" s="18" customFormat="1" x14ac:dyDescent="0.25">
      <c r="B201" s="322"/>
      <c r="H201" s="339">
        <f>SUM(H195:H200)</f>
        <v>0</v>
      </c>
      <c r="I201" s="162"/>
      <c r="J201" s="339">
        <f>SUM(J195:J200)</f>
        <v>0</v>
      </c>
      <c r="K201" s="231"/>
    </row>
    <row r="202" spans="2:11" s="18" customFormat="1" x14ac:dyDescent="0.25">
      <c r="B202" s="322"/>
      <c r="H202" s="117"/>
      <c r="I202" s="117"/>
      <c r="J202" s="117"/>
      <c r="K202" s="231"/>
    </row>
    <row r="203" spans="2:11" s="18" customFormat="1" x14ac:dyDescent="0.25">
      <c r="B203" s="322"/>
      <c r="D203" s="283" t="s">
        <v>431</v>
      </c>
      <c r="H203" s="117"/>
      <c r="I203" s="117"/>
      <c r="J203" s="117"/>
      <c r="K203" s="231"/>
    </row>
    <row r="204" spans="2:11" s="18" customFormat="1" x14ac:dyDescent="0.25">
      <c r="B204" s="322"/>
      <c r="H204" s="117"/>
      <c r="I204" s="117"/>
      <c r="J204" s="117"/>
      <c r="K204" s="231"/>
    </row>
    <row r="205" spans="2:11" s="18" customFormat="1" x14ac:dyDescent="0.25">
      <c r="B205" s="322"/>
      <c r="H205" s="804" t="s">
        <v>237</v>
      </c>
      <c r="I205" s="804"/>
      <c r="J205" s="804"/>
      <c r="K205" s="231"/>
    </row>
    <row r="206" spans="2:11" s="18" customFormat="1" x14ac:dyDescent="0.25">
      <c r="B206" s="322"/>
      <c r="H206" s="372" t="str">
        <f>RIGHT('פרטי התאגיד'!$G$11,4)</f>
        <v>2024</v>
      </c>
      <c r="I206" s="372"/>
      <c r="J206" s="372" t="str">
        <f>RIGHT('פרטי התאגיד'!$G$13,4)</f>
        <v>2023</v>
      </c>
      <c r="K206" s="231"/>
    </row>
    <row r="207" spans="2:11" s="18" customFormat="1" x14ac:dyDescent="0.25">
      <c r="B207" s="322"/>
      <c r="D207" s="18" t="s">
        <v>411</v>
      </c>
      <c r="H207" s="323"/>
      <c r="I207" s="372"/>
      <c r="J207" s="323"/>
      <c r="K207" s="231"/>
    </row>
    <row r="208" spans="2:11" s="18" customFormat="1" x14ac:dyDescent="0.25">
      <c r="B208" s="322"/>
      <c r="D208" s="18" t="s">
        <v>412</v>
      </c>
      <c r="H208" s="323"/>
      <c r="I208" s="372"/>
      <c r="J208" s="323"/>
      <c r="K208" s="231"/>
    </row>
    <row r="209" spans="2:11" s="18" customFormat="1" x14ac:dyDescent="0.25">
      <c r="B209" s="322"/>
      <c r="D209" s="18" t="s">
        <v>413</v>
      </c>
      <c r="H209" s="323"/>
      <c r="I209" s="372"/>
      <c r="J209" s="323"/>
      <c r="K209" s="231"/>
    </row>
    <row r="210" spans="2:11" s="18" customFormat="1" x14ac:dyDescent="0.25">
      <c r="B210" s="322"/>
      <c r="D210" s="18" t="s">
        <v>414</v>
      </c>
      <c r="H210" s="323"/>
      <c r="I210" s="372"/>
      <c r="J210" s="323"/>
      <c r="K210" s="231"/>
    </row>
    <row r="211" spans="2:11" s="18" customFormat="1" x14ac:dyDescent="0.25">
      <c r="B211" s="322"/>
      <c r="D211" s="18" t="s">
        <v>415</v>
      </c>
      <c r="H211" s="323"/>
      <c r="I211" s="372"/>
      <c r="J211" s="323"/>
      <c r="K211" s="231"/>
    </row>
    <row r="212" spans="2:11" s="18" customFormat="1" x14ac:dyDescent="0.25">
      <c r="B212" s="322"/>
      <c r="D212" s="18" t="s">
        <v>416</v>
      </c>
      <c r="H212" s="323"/>
      <c r="I212" s="372"/>
      <c r="J212" s="323"/>
      <c r="K212" s="231"/>
    </row>
    <row r="213" spans="2:11" s="18" customFormat="1" x14ac:dyDescent="0.25">
      <c r="B213" s="322"/>
      <c r="H213" s="339">
        <f>SUM(H207:H212)</f>
        <v>0</v>
      </c>
      <c r="I213" s="162"/>
      <c r="J213" s="339">
        <f>SUM(J207:J212)</f>
        <v>0</v>
      </c>
      <c r="K213" s="231"/>
    </row>
    <row r="214" spans="2:11" s="18" customFormat="1" x14ac:dyDescent="0.25">
      <c r="B214" s="322"/>
      <c r="H214" s="117"/>
      <c r="I214" s="117"/>
      <c r="J214" s="117"/>
      <c r="K214" s="231"/>
    </row>
    <row r="215" spans="2:11" s="18" customFormat="1" x14ac:dyDescent="0.25">
      <c r="B215" s="322"/>
      <c r="D215" s="283" t="s">
        <v>432</v>
      </c>
      <c r="H215" s="117"/>
      <c r="I215" s="117"/>
      <c r="J215" s="117"/>
      <c r="K215" s="231"/>
    </row>
    <row r="216" spans="2:11" s="18" customFormat="1" x14ac:dyDescent="0.25">
      <c r="B216" s="322"/>
      <c r="H216" s="117"/>
      <c r="I216" s="117"/>
      <c r="J216" s="117"/>
      <c r="K216" s="231"/>
    </row>
    <row r="217" spans="2:11" s="18" customFormat="1" x14ac:dyDescent="0.25">
      <c r="B217" s="322"/>
      <c r="H217" s="804" t="s">
        <v>237</v>
      </c>
      <c r="I217" s="804"/>
      <c r="J217" s="804"/>
      <c r="K217" s="231"/>
    </row>
    <row r="218" spans="2:11" s="18" customFormat="1" x14ac:dyDescent="0.25">
      <c r="B218" s="322"/>
      <c r="H218" s="372" t="str">
        <f>RIGHT('פרטי התאגיד'!$G$11,4)</f>
        <v>2024</v>
      </c>
      <c r="I218" s="372"/>
      <c r="J218" s="372" t="str">
        <f>RIGHT('פרטי התאגיד'!$G$13,4)</f>
        <v>2023</v>
      </c>
      <c r="K218" s="231"/>
    </row>
    <row r="219" spans="2:11" s="18" customFormat="1" x14ac:dyDescent="0.25">
      <c r="B219" s="322"/>
      <c r="D219" s="18" t="s">
        <v>411</v>
      </c>
      <c r="H219" s="323">
        <v>9954</v>
      </c>
      <c r="I219" s="372"/>
      <c r="J219" s="323">
        <v>2557</v>
      </c>
      <c r="K219" s="231"/>
    </row>
    <row r="220" spans="2:11" s="18" customFormat="1" x14ac:dyDescent="0.25">
      <c r="B220" s="322"/>
      <c r="D220" s="18" t="s">
        <v>412</v>
      </c>
      <c r="H220" s="323">
        <v>456</v>
      </c>
      <c r="I220" s="372"/>
      <c r="J220" s="323">
        <v>472</v>
      </c>
      <c r="K220" s="231"/>
    </row>
    <row r="221" spans="2:11" s="18" customFormat="1" x14ac:dyDescent="0.25">
      <c r="B221" s="322"/>
      <c r="D221" s="18" t="s">
        <v>413</v>
      </c>
      <c r="H221" s="323">
        <v>456</v>
      </c>
      <c r="I221" s="372"/>
      <c r="J221" s="323">
        <v>472</v>
      </c>
      <c r="K221" s="231"/>
    </row>
    <row r="222" spans="2:11" s="18" customFormat="1" x14ac:dyDescent="0.25">
      <c r="B222" s="322"/>
      <c r="D222" s="18" t="s">
        <v>414</v>
      </c>
      <c r="H222" s="323"/>
      <c r="I222" s="372"/>
      <c r="J222" s="323">
        <v>371</v>
      </c>
      <c r="K222" s="231"/>
    </row>
    <row r="223" spans="2:11" s="18" customFormat="1" x14ac:dyDescent="0.25">
      <c r="B223" s="322"/>
      <c r="D223" s="18" t="s">
        <v>415</v>
      </c>
      <c r="H223" s="323"/>
      <c r="I223" s="372"/>
      <c r="J223" s="323"/>
      <c r="K223" s="231"/>
    </row>
    <row r="224" spans="2:11" s="18" customFormat="1" x14ac:dyDescent="0.25">
      <c r="B224" s="322"/>
      <c r="D224" s="18" t="s">
        <v>416</v>
      </c>
      <c r="H224" s="323">
        <v>7758</v>
      </c>
      <c r="I224" s="372"/>
      <c r="J224" s="323">
        <v>20817</v>
      </c>
      <c r="K224" s="231"/>
    </row>
    <row r="225" spans="2:11" s="18" customFormat="1" x14ac:dyDescent="0.25">
      <c r="B225" s="322"/>
      <c r="H225" s="339">
        <f>SUM(H219:H224)</f>
        <v>18624</v>
      </c>
      <c r="I225" s="162"/>
      <c r="J225" s="339">
        <f>SUM(J219:J224)</f>
        <v>24689</v>
      </c>
      <c r="K225" s="231"/>
    </row>
    <row r="226" spans="2:11" s="18" customFormat="1" x14ac:dyDescent="0.25">
      <c r="B226" s="322"/>
      <c r="H226" s="117"/>
      <c r="I226" s="117"/>
      <c r="J226" s="117"/>
      <c r="K226" s="231"/>
    </row>
    <row r="227" spans="2:11" s="18" customFormat="1" x14ac:dyDescent="0.25">
      <c r="B227" s="322"/>
      <c r="H227" s="117"/>
      <c r="I227" s="117"/>
      <c r="J227" s="117"/>
      <c r="K227" s="231"/>
    </row>
    <row r="228" spans="2:11" s="18" customFormat="1" x14ac:dyDescent="0.25">
      <c r="B228" s="322"/>
      <c r="D228" s="283" t="s">
        <v>433</v>
      </c>
      <c r="H228" s="117"/>
      <c r="I228" s="117"/>
      <c r="J228" s="117"/>
      <c r="K228" s="231"/>
    </row>
    <row r="229" spans="2:11" s="18" customFormat="1" x14ac:dyDescent="0.25">
      <c r="B229" s="322"/>
      <c r="H229" s="117"/>
      <c r="I229" s="117"/>
      <c r="J229" s="117"/>
      <c r="K229" s="231"/>
    </row>
    <row r="230" spans="2:11" s="18" customFormat="1" x14ac:dyDescent="0.25">
      <c r="B230" s="322"/>
      <c r="H230" s="804" t="s">
        <v>237</v>
      </c>
      <c r="I230" s="804"/>
      <c r="J230" s="804"/>
      <c r="K230" s="231"/>
    </row>
    <row r="231" spans="2:11" s="18" customFormat="1" x14ac:dyDescent="0.25">
      <c r="B231" s="322"/>
      <c r="H231" s="372" t="str">
        <f>RIGHT('פרטי התאגיד'!$G$11,4)</f>
        <v>2024</v>
      </c>
      <c r="I231" s="372"/>
      <c r="J231" s="372" t="str">
        <f>RIGHT('פרטי התאגיד'!$G$13,4)</f>
        <v>2023</v>
      </c>
      <c r="K231" s="231"/>
    </row>
    <row r="232" spans="2:11" s="18" customFormat="1" x14ac:dyDescent="0.25">
      <c r="B232" s="322"/>
      <c r="D232" s="18" t="s">
        <v>411</v>
      </c>
      <c r="H232" s="323"/>
      <c r="I232" s="372"/>
      <c r="J232" s="323"/>
      <c r="K232" s="231"/>
    </row>
    <row r="233" spans="2:11" s="18" customFormat="1" x14ac:dyDescent="0.25">
      <c r="B233" s="322"/>
      <c r="D233" s="18" t="s">
        <v>412</v>
      </c>
      <c r="H233" s="323"/>
      <c r="I233" s="372"/>
      <c r="J233" s="323"/>
      <c r="K233" s="231"/>
    </row>
    <row r="234" spans="2:11" s="18" customFormat="1" x14ac:dyDescent="0.25">
      <c r="B234" s="322"/>
      <c r="D234" s="18" t="s">
        <v>413</v>
      </c>
      <c r="H234" s="323"/>
      <c r="I234" s="372"/>
      <c r="J234" s="323"/>
      <c r="K234" s="231"/>
    </row>
    <row r="235" spans="2:11" s="18" customFormat="1" x14ac:dyDescent="0.25">
      <c r="B235" s="322"/>
      <c r="D235" s="18" t="s">
        <v>414</v>
      </c>
      <c r="H235" s="323"/>
      <c r="I235" s="372"/>
      <c r="J235" s="323"/>
      <c r="K235" s="231"/>
    </row>
    <row r="236" spans="2:11" s="18" customFormat="1" x14ac:dyDescent="0.25">
      <c r="B236" s="322"/>
      <c r="D236" s="18" t="s">
        <v>415</v>
      </c>
      <c r="H236" s="323"/>
      <c r="I236" s="372"/>
      <c r="J236" s="323"/>
      <c r="K236" s="231"/>
    </row>
    <row r="237" spans="2:11" s="18" customFormat="1" x14ac:dyDescent="0.25">
      <c r="B237" s="322"/>
      <c r="D237" s="18" t="s">
        <v>416</v>
      </c>
      <c r="H237" s="323"/>
      <c r="I237" s="372"/>
      <c r="J237" s="323"/>
      <c r="K237" s="231"/>
    </row>
    <row r="238" spans="2:11" s="18" customFormat="1" x14ac:dyDescent="0.25">
      <c r="B238" s="322"/>
      <c r="H238" s="339">
        <f>SUM(H232:H237)</f>
        <v>0</v>
      </c>
      <c r="I238" s="162"/>
      <c r="J238" s="339">
        <f>SUM(J232:J237)</f>
        <v>0</v>
      </c>
      <c r="K238" s="231"/>
    </row>
    <row r="239" spans="2:11" s="18" customFormat="1" x14ac:dyDescent="0.25">
      <c r="B239" s="322"/>
      <c r="H239" s="117"/>
      <c r="I239" s="117"/>
      <c r="J239" s="117"/>
      <c r="K239" s="231"/>
    </row>
    <row r="240" spans="2:11" s="18" customFormat="1" x14ac:dyDescent="0.25">
      <c r="B240" s="322"/>
      <c r="H240" s="117"/>
      <c r="I240" s="117"/>
      <c r="J240" s="117"/>
      <c r="K240" s="231"/>
    </row>
    <row r="241" spans="2:11" s="18" customFormat="1" x14ac:dyDescent="0.25">
      <c r="B241" s="322"/>
      <c r="D241" s="283" t="s">
        <v>434</v>
      </c>
      <c r="H241" s="117"/>
      <c r="I241" s="351"/>
      <c r="J241" s="351"/>
      <c r="K241" s="231"/>
    </row>
    <row r="242" spans="2:11" s="18" customFormat="1" x14ac:dyDescent="0.25">
      <c r="B242" s="322"/>
      <c r="D242" s="752" t="s">
        <v>788</v>
      </c>
      <c r="E242" s="753"/>
      <c r="F242" s="753"/>
      <c r="G242" s="753"/>
      <c r="H242" s="753"/>
      <c r="I242" s="753"/>
      <c r="J242" s="754"/>
      <c r="K242" s="231"/>
    </row>
    <row r="243" spans="2:11" s="18" customFormat="1" x14ac:dyDescent="0.25">
      <c r="B243" s="322"/>
      <c r="D243" s="755"/>
      <c r="E243" s="756"/>
      <c r="F243" s="756"/>
      <c r="G243" s="756"/>
      <c r="H243" s="756"/>
      <c r="I243" s="756"/>
      <c r="J243" s="757"/>
      <c r="K243" s="231"/>
    </row>
    <row r="244" spans="2:11" s="18" customFormat="1" x14ac:dyDescent="0.25">
      <c r="B244" s="322"/>
      <c r="D244" s="755"/>
      <c r="E244" s="756"/>
      <c r="F244" s="756"/>
      <c r="G244" s="756"/>
      <c r="H244" s="756"/>
      <c r="I244" s="756"/>
      <c r="J244" s="757"/>
      <c r="K244" s="231"/>
    </row>
    <row r="245" spans="2:11" s="18" customFormat="1" x14ac:dyDescent="0.25">
      <c r="B245" s="322"/>
      <c r="D245" s="755"/>
      <c r="E245" s="756"/>
      <c r="F245" s="756"/>
      <c r="G245" s="756"/>
      <c r="H245" s="756"/>
      <c r="I245" s="756"/>
      <c r="J245" s="757"/>
      <c r="K245" s="231"/>
    </row>
    <row r="246" spans="2:11" s="18" customFormat="1" x14ac:dyDescent="0.25">
      <c r="B246" s="322"/>
      <c r="D246" s="758"/>
      <c r="E246" s="759"/>
      <c r="F246" s="759"/>
      <c r="G246" s="759"/>
      <c r="H246" s="759"/>
      <c r="I246" s="759"/>
      <c r="J246" s="760"/>
      <c r="K246" s="231"/>
    </row>
    <row r="247" spans="2:11" s="18" customFormat="1" x14ac:dyDescent="0.25">
      <c r="B247" s="322"/>
      <c r="H247" s="117"/>
      <c r="I247" s="117"/>
      <c r="J247" s="117"/>
      <c r="K247" s="231"/>
    </row>
    <row r="248" spans="2:11" s="18" customFormat="1" x14ac:dyDescent="0.25">
      <c r="B248" s="322"/>
      <c r="H248" s="117"/>
      <c r="I248" s="117"/>
      <c r="J248" s="117"/>
      <c r="K248" s="231"/>
    </row>
    <row r="249" spans="2:11" s="18" customFormat="1" ht="18.75" x14ac:dyDescent="0.25">
      <c r="B249" s="312" t="s">
        <v>435</v>
      </c>
      <c r="C249" s="366" t="s">
        <v>207</v>
      </c>
      <c r="D249" s="302" t="s">
        <v>401</v>
      </c>
      <c r="E249" s="302"/>
      <c r="F249" s="220"/>
      <c r="G249" s="387"/>
      <c r="H249" s="388"/>
      <c r="I249" s="388"/>
      <c r="J249" s="388"/>
      <c r="K249" s="379"/>
    </row>
    <row r="250" spans="2:11" s="18" customFormat="1" x14ac:dyDescent="0.25">
      <c r="B250" s="322"/>
      <c r="H250" s="117"/>
      <c r="I250" s="117"/>
      <c r="J250" s="117"/>
      <c r="K250" s="231"/>
    </row>
    <row r="251" spans="2:11" s="18" customFormat="1" x14ac:dyDescent="0.25">
      <c r="B251" s="322"/>
      <c r="D251" s="285" t="s">
        <v>247</v>
      </c>
      <c r="H251" s="117"/>
      <c r="I251" s="117"/>
      <c r="J251" s="117"/>
      <c r="K251" s="231"/>
    </row>
    <row r="252" spans="2:11" s="18" customFormat="1" x14ac:dyDescent="0.25">
      <c r="B252" s="322"/>
      <c r="G252" s="285"/>
      <c r="H252" s="804" t="s">
        <v>237</v>
      </c>
      <c r="I252" s="804"/>
      <c r="J252" s="804"/>
      <c r="K252" s="379"/>
    </row>
    <row r="253" spans="2:11" s="18" customFormat="1" x14ac:dyDescent="0.25">
      <c r="B253" s="322"/>
      <c r="H253" s="372" t="str">
        <f>RIGHT('פרטי התאגיד'!$G$11,4)</f>
        <v>2024</v>
      </c>
      <c r="I253" s="372"/>
      <c r="J253" s="372" t="str">
        <f>RIGHT('פרטי התאגיד'!$G$13,4)</f>
        <v>2023</v>
      </c>
      <c r="K253" s="380"/>
    </row>
    <row r="254" spans="2:11" s="18" customFormat="1" x14ac:dyDescent="0.25">
      <c r="B254" s="322"/>
      <c r="D254" s="18" t="s">
        <v>436</v>
      </c>
      <c r="H254" s="323">
        <v>95686</v>
      </c>
      <c r="I254" s="372"/>
      <c r="J254" s="323">
        <f>82672+9896</f>
        <v>92568</v>
      </c>
      <c r="K254" s="380"/>
    </row>
    <row r="255" spans="2:11" s="18" customFormat="1" x14ac:dyDescent="0.25">
      <c r="B255" s="322"/>
      <c r="D255" s="18" t="s">
        <v>437</v>
      </c>
      <c r="H255" s="323">
        <f>-20645-3797</f>
        <v>-24442</v>
      </c>
      <c r="I255" s="372"/>
      <c r="J255" s="323">
        <f>-16910-3735</f>
        <v>-20645</v>
      </c>
      <c r="K255" s="231"/>
    </row>
    <row r="256" spans="2:11" s="18" customFormat="1" x14ac:dyDescent="0.25">
      <c r="B256" s="322"/>
      <c r="H256" s="375">
        <f>SUM(H254:H255)</f>
        <v>71244</v>
      </c>
      <c r="I256" s="162"/>
      <c r="J256" s="375">
        <f>SUM(J254:J255)</f>
        <v>71923</v>
      </c>
      <c r="K256" s="231"/>
    </row>
    <row r="257" spans="2:11" s="18" customFormat="1" x14ac:dyDescent="0.25">
      <c r="B257" s="322"/>
      <c r="D257" s="18" t="s">
        <v>438</v>
      </c>
      <c r="H257" s="323">
        <v>8993</v>
      </c>
      <c r="I257" s="372"/>
      <c r="J257" s="323">
        <f>3083+35</f>
        <v>3118</v>
      </c>
      <c r="K257" s="231"/>
    </row>
    <row r="258" spans="2:11" s="18" customFormat="1" x14ac:dyDescent="0.25">
      <c r="B258" s="322"/>
      <c r="D258" s="18" t="s">
        <v>439</v>
      </c>
      <c r="H258" s="323">
        <v>-2885</v>
      </c>
      <c r="I258" s="372"/>
      <c r="J258" s="323">
        <v>-3797</v>
      </c>
      <c r="K258" s="231"/>
    </row>
    <row r="259" spans="2:11" s="18" customFormat="1" x14ac:dyDescent="0.25">
      <c r="B259" s="322"/>
      <c r="D259" s="18" t="s">
        <v>440</v>
      </c>
      <c r="H259" s="375">
        <f>H256+H257+H258</f>
        <v>77352</v>
      </c>
      <c r="I259" s="162"/>
      <c r="J259" s="375">
        <f>J256+J257+J258</f>
        <v>71244</v>
      </c>
      <c r="K259" s="231"/>
    </row>
    <row r="260" spans="2:11" s="18" customFormat="1" x14ac:dyDescent="0.25">
      <c r="B260" s="322"/>
      <c r="D260" s="283" t="s">
        <v>441</v>
      </c>
      <c r="H260" s="117"/>
      <c r="I260" s="117"/>
      <c r="J260" s="117"/>
      <c r="K260" s="231"/>
    </row>
    <row r="261" spans="2:11" s="18" customFormat="1" x14ac:dyDescent="0.25">
      <c r="B261" s="322"/>
      <c r="D261" s="18" t="s">
        <v>442</v>
      </c>
      <c r="H261" s="323">
        <f>56494+57026</f>
        <v>113520</v>
      </c>
      <c r="I261" s="372"/>
      <c r="J261" s="323">
        <f>32478+24016</f>
        <v>56494</v>
      </c>
      <c r="K261" s="231"/>
    </row>
    <row r="262" spans="2:11" s="18" customFormat="1" x14ac:dyDescent="0.25">
      <c r="B262" s="322"/>
      <c r="D262" s="18" t="s">
        <v>437</v>
      </c>
      <c r="H262" s="323">
        <v>-9088</v>
      </c>
      <c r="I262" s="372"/>
      <c r="J262" s="323">
        <f>-1723-1782-5583</f>
        <v>-9088</v>
      </c>
      <c r="K262" s="231"/>
    </row>
    <row r="263" spans="2:11" s="18" customFormat="1" x14ac:dyDescent="0.25">
      <c r="B263" s="322"/>
      <c r="D263" s="18" t="s">
        <v>443</v>
      </c>
      <c r="H263" s="323">
        <f>11677+1543</f>
        <v>13220</v>
      </c>
      <c r="I263" s="372"/>
      <c r="J263" s="323">
        <v>57026</v>
      </c>
      <c r="K263" s="231"/>
    </row>
    <row r="264" spans="2:11" s="18" customFormat="1" x14ac:dyDescent="0.25">
      <c r="B264" s="322"/>
      <c r="D264" s="287" t="s">
        <v>439</v>
      </c>
      <c r="H264" s="323"/>
      <c r="I264" s="372"/>
      <c r="J264" s="323"/>
      <c r="K264" s="231"/>
    </row>
    <row r="265" spans="2:11" s="18" customFormat="1" x14ac:dyDescent="0.25">
      <c r="B265" s="322"/>
      <c r="D265" s="287"/>
      <c r="H265" s="375">
        <f>SUM(H261:H264)</f>
        <v>117652</v>
      </c>
      <c r="I265" s="162"/>
      <c r="J265" s="375">
        <f>SUM(J261:J264)</f>
        <v>104432</v>
      </c>
      <c r="K265" s="231"/>
    </row>
    <row r="266" spans="2:11" s="18" customFormat="1" x14ac:dyDescent="0.25">
      <c r="B266" s="322"/>
      <c r="H266" s="117"/>
      <c r="I266" s="117"/>
      <c r="J266" s="117"/>
      <c r="K266" s="231"/>
    </row>
    <row r="267" spans="2:11" s="18" customFormat="1" x14ac:dyDescent="0.25">
      <c r="B267" s="322"/>
      <c r="H267" s="339">
        <f>H265+H259</f>
        <v>195004</v>
      </c>
      <c r="I267" s="162"/>
      <c r="J267" s="339">
        <f>J265+J259</f>
        <v>175676</v>
      </c>
      <c r="K267" s="231"/>
    </row>
    <row r="268" spans="2:11" s="18" customFormat="1" x14ac:dyDescent="0.25">
      <c r="B268" s="322"/>
      <c r="D268" s="283"/>
      <c r="H268" s="117"/>
      <c r="I268" s="117"/>
      <c r="J268" s="117"/>
      <c r="K268" s="231"/>
    </row>
    <row r="269" spans="2:11" s="18" customFormat="1" ht="18.75" x14ac:dyDescent="0.25">
      <c r="B269" s="312" t="s">
        <v>444</v>
      </c>
      <c r="C269" s="366" t="s">
        <v>207</v>
      </c>
      <c r="D269" s="302" t="s">
        <v>243</v>
      </c>
      <c r="E269" s="302"/>
      <c r="F269" s="220"/>
      <c r="G269" s="387"/>
      <c r="H269" s="388"/>
      <c r="I269" s="388"/>
      <c r="J269" s="388"/>
      <c r="K269" s="379"/>
    </row>
    <row r="270" spans="2:11" s="18" customFormat="1" x14ac:dyDescent="0.25">
      <c r="B270" s="322"/>
      <c r="H270" s="117"/>
      <c r="I270" s="117"/>
      <c r="J270" s="117"/>
      <c r="K270" s="231"/>
    </row>
    <row r="271" spans="2:11" s="18" customFormat="1" x14ac:dyDescent="0.25">
      <c r="B271" s="322"/>
      <c r="D271" s="285" t="s">
        <v>404</v>
      </c>
      <c r="H271" s="117"/>
      <c r="I271" s="117"/>
      <c r="J271" s="117"/>
      <c r="K271" s="231"/>
    </row>
    <row r="272" spans="2:11" s="18" customFormat="1" x14ac:dyDescent="0.25">
      <c r="B272" s="322"/>
      <c r="G272" s="285"/>
      <c r="H272" s="804" t="s">
        <v>237</v>
      </c>
      <c r="I272" s="804"/>
      <c r="J272" s="804"/>
      <c r="K272" s="379"/>
    </row>
    <row r="273" spans="2:11" s="18" customFormat="1" x14ac:dyDescent="0.25">
      <c r="B273" s="322"/>
      <c r="H273" s="372" t="str">
        <f>RIGHT('פרטי התאגיד'!$G$11,4)</f>
        <v>2024</v>
      </c>
      <c r="I273" s="372"/>
      <c r="J273" s="372" t="str">
        <f>RIGHT('פרטי התאגיד'!$G$13,4)</f>
        <v>2023</v>
      </c>
      <c r="K273" s="380"/>
    </row>
    <row r="274" spans="2:11" s="18" customFormat="1" x14ac:dyDescent="0.25">
      <c r="B274" s="322"/>
      <c r="D274" s="18" t="s">
        <v>445</v>
      </c>
      <c r="H274" s="323"/>
      <c r="I274" s="372"/>
      <c r="J274" s="323"/>
      <c r="K274" s="231"/>
    </row>
    <row r="275" spans="2:11" s="18" customFormat="1" x14ac:dyDescent="0.25">
      <c r="B275" s="322"/>
      <c r="D275" s="18" t="s">
        <v>446</v>
      </c>
      <c r="H275" s="323"/>
      <c r="I275" s="372"/>
      <c r="J275" s="323"/>
      <c r="K275" s="231"/>
    </row>
    <row r="276" spans="2:11" s="18" customFormat="1" x14ac:dyDescent="0.25">
      <c r="B276" s="322"/>
      <c r="D276" s="18" t="s">
        <v>447</v>
      </c>
      <c r="H276" s="323"/>
      <c r="I276" s="372"/>
      <c r="J276" s="323"/>
      <c r="K276" s="231"/>
    </row>
    <row r="277" spans="2:11" s="18" customFormat="1" x14ac:dyDescent="0.25">
      <c r="B277" s="322"/>
      <c r="D277" s="18" t="s">
        <v>448</v>
      </c>
      <c r="H277" s="323"/>
      <c r="I277" s="372"/>
      <c r="J277" s="323"/>
      <c r="K277" s="231"/>
    </row>
    <row r="278" spans="2:11" s="18" customFormat="1" x14ac:dyDescent="0.25">
      <c r="B278" s="322"/>
      <c r="D278" s="18" t="s">
        <v>409</v>
      </c>
      <c r="H278" s="117">
        <f>-H286</f>
        <v>0</v>
      </c>
      <c r="I278" s="117"/>
      <c r="J278" s="117">
        <f>-J286</f>
        <v>0</v>
      </c>
      <c r="K278" s="231"/>
    </row>
    <row r="279" spans="2:11" s="18" customFormat="1" x14ac:dyDescent="0.25">
      <c r="B279" s="322"/>
      <c r="H279" s="339">
        <f>SUM(H274:H278)</f>
        <v>0</v>
      </c>
      <c r="I279" s="162"/>
      <c r="J279" s="339">
        <f>SUM(J274:J278)</f>
        <v>0</v>
      </c>
      <c r="K279" s="231"/>
    </row>
    <row r="280" spans="2:11" s="18" customFormat="1" x14ac:dyDescent="0.25">
      <c r="B280" s="322"/>
      <c r="H280" s="117"/>
      <c r="I280" s="117"/>
      <c r="J280" s="117"/>
      <c r="K280" s="231"/>
    </row>
    <row r="281" spans="2:11" s="18" customFormat="1" x14ac:dyDescent="0.25">
      <c r="B281" s="322"/>
      <c r="H281" s="117"/>
      <c r="I281" s="117"/>
      <c r="J281" s="117"/>
      <c r="K281" s="231"/>
    </row>
    <row r="282" spans="2:11" s="18" customFormat="1" x14ac:dyDescent="0.25">
      <c r="B282" s="322"/>
      <c r="D282" s="283" t="s">
        <v>449</v>
      </c>
      <c r="H282" s="117"/>
      <c r="I282" s="117"/>
      <c r="J282" s="117"/>
      <c r="K282" s="231"/>
    </row>
    <row r="283" spans="2:11" s="18" customFormat="1" x14ac:dyDescent="0.25">
      <c r="B283" s="322"/>
      <c r="H283" s="117"/>
      <c r="I283" s="117"/>
      <c r="J283" s="117"/>
      <c r="K283" s="231"/>
    </row>
    <row r="284" spans="2:11" s="18" customFormat="1" x14ac:dyDescent="0.25">
      <c r="B284" s="322"/>
      <c r="H284" s="804" t="s">
        <v>237</v>
      </c>
      <c r="I284" s="804"/>
      <c r="J284" s="804"/>
      <c r="K284" s="231"/>
    </row>
    <row r="285" spans="2:11" s="18" customFormat="1" x14ac:dyDescent="0.25">
      <c r="B285" s="322"/>
      <c r="H285" s="372" t="str">
        <f>RIGHT('פרטי התאגיד'!$G$11,4)</f>
        <v>2024</v>
      </c>
      <c r="I285" s="372"/>
      <c r="J285" s="372" t="str">
        <f>RIGHT('פרטי התאגיד'!$G$13,4)</f>
        <v>2023</v>
      </c>
      <c r="K285" s="231"/>
    </row>
    <row r="286" spans="2:11" s="18" customFormat="1" x14ac:dyDescent="0.25">
      <c r="B286" s="322"/>
      <c r="D286" s="18" t="s">
        <v>411</v>
      </c>
      <c r="H286" s="323"/>
      <c r="I286" s="372"/>
      <c r="J286" s="323"/>
      <c r="K286" s="231"/>
    </row>
    <row r="287" spans="2:11" s="18" customFormat="1" x14ac:dyDescent="0.25">
      <c r="B287" s="322"/>
      <c r="D287" s="18" t="s">
        <v>412</v>
      </c>
      <c r="H287" s="323"/>
      <c r="I287" s="372"/>
      <c r="J287" s="323"/>
      <c r="K287" s="231"/>
    </row>
    <row r="288" spans="2:11" s="18" customFormat="1" x14ac:dyDescent="0.25">
      <c r="B288" s="322"/>
      <c r="D288" s="18" t="s">
        <v>413</v>
      </c>
      <c r="H288" s="323"/>
      <c r="I288" s="372"/>
      <c r="J288" s="323"/>
      <c r="K288" s="231"/>
    </row>
    <row r="289" spans="2:11" s="18" customFormat="1" x14ac:dyDescent="0.25">
      <c r="B289" s="322"/>
      <c r="D289" s="18" t="s">
        <v>414</v>
      </c>
      <c r="H289" s="323"/>
      <c r="I289" s="372"/>
      <c r="J289" s="323"/>
      <c r="K289" s="231"/>
    </row>
    <row r="290" spans="2:11" s="18" customFormat="1" x14ac:dyDescent="0.25">
      <c r="B290" s="322"/>
      <c r="D290" s="18" t="s">
        <v>415</v>
      </c>
      <c r="H290" s="323"/>
      <c r="I290" s="372"/>
      <c r="J290" s="323"/>
      <c r="K290" s="231"/>
    </row>
    <row r="291" spans="2:11" s="18" customFormat="1" x14ac:dyDescent="0.25">
      <c r="B291" s="322"/>
      <c r="D291" s="18" t="s">
        <v>416</v>
      </c>
      <c r="H291" s="323"/>
      <c r="I291" s="372"/>
      <c r="J291" s="323"/>
      <c r="K291" s="231"/>
    </row>
    <row r="292" spans="2:11" s="18" customFormat="1" x14ac:dyDescent="0.25">
      <c r="B292" s="322"/>
      <c r="H292" s="339">
        <f>SUM(H286:H291)</f>
        <v>0</v>
      </c>
      <c r="I292" s="162"/>
      <c r="J292" s="339">
        <f>SUM(J286:J291)</f>
        <v>0</v>
      </c>
      <c r="K292" s="231"/>
    </row>
    <row r="293" spans="2:11" s="18" customFormat="1" x14ac:dyDescent="0.25">
      <c r="B293" s="322"/>
      <c r="H293" s="117"/>
      <c r="I293" s="117"/>
      <c r="J293" s="117"/>
      <c r="K293" s="231"/>
    </row>
    <row r="294" spans="2:11" s="18" customFormat="1" x14ac:dyDescent="0.25">
      <c r="B294" s="322"/>
      <c r="H294" s="117"/>
      <c r="I294" s="117"/>
      <c r="J294" s="117"/>
      <c r="K294" s="231"/>
    </row>
    <row r="295" spans="2:11" s="18" customFormat="1" x14ac:dyDescent="0.25">
      <c r="B295" s="322"/>
      <c r="D295" s="283" t="s">
        <v>450</v>
      </c>
      <c r="H295" s="117"/>
      <c r="I295" s="351"/>
      <c r="J295" s="351"/>
      <c r="K295" s="231"/>
    </row>
    <row r="296" spans="2:11" s="18" customFormat="1" x14ac:dyDescent="0.25">
      <c r="B296" s="322"/>
      <c r="D296" s="752" t="s">
        <v>788</v>
      </c>
      <c r="E296" s="753"/>
      <c r="F296" s="753"/>
      <c r="G296" s="753"/>
      <c r="H296" s="753"/>
      <c r="I296" s="753"/>
      <c r="J296" s="754"/>
      <c r="K296" s="231"/>
    </row>
    <row r="297" spans="2:11" s="18" customFormat="1" x14ac:dyDescent="0.25">
      <c r="B297" s="322"/>
      <c r="D297" s="755"/>
      <c r="E297" s="756"/>
      <c r="F297" s="756"/>
      <c r="G297" s="756"/>
      <c r="H297" s="756"/>
      <c r="I297" s="756"/>
      <c r="J297" s="757"/>
      <c r="K297" s="231"/>
    </row>
    <row r="298" spans="2:11" s="18" customFormat="1" x14ac:dyDescent="0.25">
      <c r="B298" s="322"/>
      <c r="D298" s="755"/>
      <c r="E298" s="756"/>
      <c r="F298" s="756"/>
      <c r="G298" s="756"/>
      <c r="H298" s="756"/>
      <c r="I298" s="756"/>
      <c r="J298" s="757"/>
      <c r="K298" s="231"/>
    </row>
    <row r="299" spans="2:11" s="18" customFormat="1" x14ac:dyDescent="0.25">
      <c r="B299" s="322"/>
      <c r="D299" s="755"/>
      <c r="E299" s="756"/>
      <c r="F299" s="756"/>
      <c r="G299" s="756"/>
      <c r="H299" s="756"/>
      <c r="I299" s="756"/>
      <c r="J299" s="757"/>
      <c r="K299" s="231"/>
    </row>
    <row r="300" spans="2:11" s="18" customFormat="1" x14ac:dyDescent="0.25">
      <c r="B300" s="322"/>
      <c r="D300" s="758"/>
      <c r="E300" s="759"/>
      <c r="F300" s="759"/>
      <c r="G300" s="759"/>
      <c r="H300" s="759"/>
      <c r="I300" s="759"/>
      <c r="J300" s="760"/>
      <c r="K300" s="231"/>
    </row>
    <row r="301" spans="2:11" s="18" customFormat="1" x14ac:dyDescent="0.25">
      <c r="B301" s="322"/>
      <c r="H301" s="117"/>
      <c r="I301" s="117"/>
      <c r="J301" s="117"/>
      <c r="K301" s="231"/>
    </row>
    <row r="302" spans="2:11" s="18" customFormat="1" ht="18.75" x14ac:dyDescent="0.25">
      <c r="B302" s="312" t="s">
        <v>451</v>
      </c>
      <c r="C302" s="366" t="s">
        <v>207</v>
      </c>
      <c r="D302" s="302" t="s">
        <v>452</v>
      </c>
      <c r="E302" s="302"/>
      <c r="F302" s="220"/>
      <c r="G302" s="387"/>
      <c r="H302" s="388"/>
      <c r="I302" s="388"/>
      <c r="J302" s="388"/>
      <c r="K302" s="379"/>
    </row>
    <row r="303" spans="2:11" s="18" customFormat="1" x14ac:dyDescent="0.25">
      <c r="B303" s="322"/>
      <c r="H303" s="117"/>
      <c r="I303" s="117"/>
      <c r="J303" s="117"/>
      <c r="K303" s="231"/>
    </row>
    <row r="304" spans="2:11" s="18" customFormat="1" x14ac:dyDescent="0.25">
      <c r="B304" s="322"/>
      <c r="D304" s="285" t="s">
        <v>404</v>
      </c>
      <c r="H304" s="804" t="s">
        <v>237</v>
      </c>
      <c r="I304" s="804"/>
      <c r="J304" s="804"/>
      <c r="K304" s="379"/>
    </row>
    <row r="305" spans="2:11" s="18" customFormat="1" x14ac:dyDescent="0.25">
      <c r="B305" s="322"/>
      <c r="H305" s="372" t="str">
        <f>RIGHT('פרטי התאגיד'!$G$11,4)</f>
        <v>2024</v>
      </c>
      <c r="I305" s="372"/>
      <c r="J305" s="372" t="str">
        <f>RIGHT('פרטי התאגיד'!$G$13,4)</f>
        <v>2023</v>
      </c>
      <c r="K305" s="380"/>
    </row>
    <row r="306" spans="2:11" s="18" customFormat="1" x14ac:dyDescent="0.25">
      <c r="B306" s="322"/>
      <c r="D306" s="18" t="s">
        <v>453</v>
      </c>
      <c r="H306" s="323"/>
      <c r="I306" s="372"/>
      <c r="J306" s="323"/>
      <c r="K306" s="231"/>
    </row>
    <row r="307" spans="2:11" s="18" customFormat="1" x14ac:dyDescent="0.25">
      <c r="B307" s="322"/>
      <c r="D307" s="18" t="s">
        <v>454</v>
      </c>
      <c r="H307" s="323"/>
      <c r="I307" s="372"/>
      <c r="J307" s="323"/>
      <c r="K307" s="231"/>
    </row>
    <row r="308" spans="2:11" s="18" customFormat="1" x14ac:dyDescent="0.25">
      <c r="B308" s="322"/>
      <c r="D308" s="287" t="s">
        <v>9</v>
      </c>
      <c r="H308" s="323"/>
      <c r="I308" s="372"/>
      <c r="J308" s="323"/>
      <c r="K308" s="231"/>
    </row>
    <row r="309" spans="2:11" s="18" customFormat="1" x14ac:dyDescent="0.25">
      <c r="B309" s="322"/>
      <c r="H309" s="339">
        <f>SUM(H306:H308)</f>
        <v>0</v>
      </c>
      <c r="I309" s="162"/>
      <c r="J309" s="339">
        <f>SUM(J306:J308)</f>
        <v>0</v>
      </c>
      <c r="K309" s="231"/>
    </row>
    <row r="310" spans="2:11" s="18" customFormat="1" x14ac:dyDescent="0.25">
      <c r="B310" s="322"/>
      <c r="H310" s="117"/>
      <c r="I310" s="372"/>
      <c r="J310" s="117"/>
      <c r="K310" s="231"/>
    </row>
    <row r="311" spans="2:11" s="18" customFormat="1" x14ac:dyDescent="0.25">
      <c r="B311" s="322"/>
      <c r="D311" s="285" t="s">
        <v>455</v>
      </c>
      <c r="H311" s="117"/>
      <c r="I311" s="117"/>
      <c r="J311" s="117"/>
      <c r="K311" s="231"/>
    </row>
    <row r="312" spans="2:11" s="18" customFormat="1" x14ac:dyDescent="0.25">
      <c r="B312" s="322"/>
      <c r="D312" s="284" t="s">
        <v>456</v>
      </c>
      <c r="H312" s="117"/>
      <c r="I312" s="117"/>
      <c r="J312" s="117"/>
      <c r="K312" s="231"/>
    </row>
    <row r="313" spans="2:11" s="18" customFormat="1" x14ac:dyDescent="0.25">
      <c r="B313" s="322"/>
      <c r="D313" s="811" t="s">
        <v>788</v>
      </c>
      <c r="E313" s="812"/>
      <c r="F313" s="812"/>
      <c r="G313" s="812"/>
      <c r="H313" s="812"/>
      <c r="I313" s="812"/>
      <c r="J313" s="813"/>
      <c r="K313" s="231"/>
    </row>
    <row r="314" spans="2:11" s="18" customFormat="1" x14ac:dyDescent="0.25">
      <c r="B314" s="322"/>
      <c r="D314" s="814"/>
      <c r="E314" s="778"/>
      <c r="F314" s="778"/>
      <c r="G314" s="778"/>
      <c r="H314" s="778"/>
      <c r="I314" s="778"/>
      <c r="J314" s="815"/>
      <c r="K314" s="231"/>
    </row>
    <row r="315" spans="2:11" s="18" customFormat="1" x14ac:dyDescent="0.25">
      <c r="B315" s="322"/>
      <c r="D315" s="816"/>
      <c r="E315" s="817"/>
      <c r="F315" s="817"/>
      <c r="G315" s="817"/>
      <c r="H315" s="817"/>
      <c r="I315" s="817"/>
      <c r="J315" s="818"/>
      <c r="K315" s="231"/>
    </row>
    <row r="316" spans="2:11" s="18" customFormat="1" x14ac:dyDescent="0.25">
      <c r="B316" s="322"/>
      <c r="D316" s="284"/>
      <c r="E316" s="284"/>
      <c r="F316" s="284"/>
      <c r="G316" s="284"/>
      <c r="H316" s="306"/>
      <c r="I316" s="306"/>
      <c r="J316" s="306"/>
      <c r="K316" s="231"/>
    </row>
    <row r="317" spans="2:11" s="18" customFormat="1" ht="18.75" x14ac:dyDescent="0.25">
      <c r="B317" s="312" t="s">
        <v>457</v>
      </c>
      <c r="C317" s="366" t="s">
        <v>207</v>
      </c>
      <c r="D317" s="302" t="s">
        <v>458</v>
      </c>
      <c r="E317" s="302"/>
      <c r="F317" s="220"/>
      <c r="G317" s="387"/>
      <c r="H317" s="388"/>
      <c r="I317" s="388"/>
      <c r="J317" s="388"/>
      <c r="K317" s="379"/>
    </row>
    <row r="318" spans="2:11" s="18" customFormat="1" x14ac:dyDescent="0.25">
      <c r="B318" s="322"/>
      <c r="H318" s="117"/>
      <c r="I318" s="117"/>
      <c r="J318" s="117"/>
      <c r="K318" s="231"/>
    </row>
    <row r="319" spans="2:11" s="18" customFormat="1" x14ac:dyDescent="0.25">
      <c r="B319" s="322"/>
      <c r="D319" s="285" t="s">
        <v>247</v>
      </c>
      <c r="H319" s="804" t="s">
        <v>459</v>
      </c>
      <c r="I319" s="804"/>
      <c r="J319" s="804"/>
      <c r="K319" s="379"/>
    </row>
    <row r="320" spans="2:11" s="18" customFormat="1" x14ac:dyDescent="0.25">
      <c r="B320" s="322"/>
      <c r="D320" s="283"/>
      <c r="E320" s="283"/>
      <c r="H320" s="372" t="str">
        <f>RIGHT('פרטי התאגיד'!$G$11,4)</f>
        <v>2024</v>
      </c>
      <c r="I320" s="372"/>
      <c r="J320" s="372" t="str">
        <f>RIGHT('פרטי התאגיד'!$G$13,4)</f>
        <v>2023</v>
      </c>
      <c r="K320" s="380"/>
    </row>
    <row r="321" spans="2:11" s="18" customFormat="1" x14ac:dyDescent="0.25">
      <c r="B321" s="322"/>
      <c r="D321" s="283" t="s">
        <v>460</v>
      </c>
      <c r="E321" s="283"/>
      <c r="K321" s="231"/>
    </row>
    <row r="322" spans="2:11" s="18" customFormat="1" x14ac:dyDescent="0.25">
      <c r="B322" s="322"/>
      <c r="D322" s="287" t="s">
        <v>461</v>
      </c>
      <c r="H322" s="323">
        <v>360</v>
      </c>
      <c r="I322" s="372"/>
      <c r="J322" s="323">
        <v>360</v>
      </c>
      <c r="K322" s="231"/>
    </row>
    <row r="323" spans="2:11" s="18" customFormat="1" x14ac:dyDescent="0.25">
      <c r="B323" s="322"/>
      <c r="D323" s="287" t="s">
        <v>462</v>
      </c>
      <c r="H323" s="323"/>
      <c r="I323" s="372"/>
      <c r="J323" s="323"/>
      <c r="K323" s="231"/>
    </row>
    <row r="324" spans="2:11" s="18" customFormat="1" x14ac:dyDescent="0.25">
      <c r="B324" s="322"/>
      <c r="H324" s="339">
        <f>SUM(H322:H323)</f>
        <v>360</v>
      </c>
      <c r="I324" s="162"/>
      <c r="J324" s="339">
        <f>SUM(J322:J323)</f>
        <v>360</v>
      </c>
      <c r="K324" s="231"/>
    </row>
    <row r="325" spans="2:11" s="18" customFormat="1" x14ac:dyDescent="0.25">
      <c r="B325" s="322"/>
      <c r="H325" s="117"/>
      <c r="I325" s="372"/>
      <c r="J325" s="117"/>
      <c r="K325" s="231"/>
    </row>
    <row r="326" spans="2:11" s="18" customFormat="1" x14ac:dyDescent="0.25">
      <c r="B326" s="322"/>
      <c r="E326" s="283"/>
      <c r="H326" s="117"/>
      <c r="I326" s="372"/>
      <c r="J326" s="117"/>
      <c r="K326" s="231"/>
    </row>
    <row r="327" spans="2:11" s="18" customFormat="1" x14ac:dyDescent="0.25">
      <c r="B327" s="322"/>
      <c r="D327" s="283" t="s">
        <v>463</v>
      </c>
      <c r="E327" s="283"/>
      <c r="K327" s="231"/>
    </row>
    <row r="328" spans="2:11" s="18" customFormat="1" x14ac:dyDescent="0.25">
      <c r="B328" s="322"/>
      <c r="D328" s="287" t="s">
        <v>461</v>
      </c>
      <c r="H328" s="323">
        <v>360</v>
      </c>
      <c r="I328" s="372"/>
      <c r="J328" s="323">
        <v>360</v>
      </c>
      <c r="K328" s="231"/>
    </row>
    <row r="329" spans="2:11" s="18" customFormat="1" x14ac:dyDescent="0.25">
      <c r="B329" s="322"/>
      <c r="D329" s="287" t="s">
        <v>462</v>
      </c>
      <c r="H329" s="323"/>
      <c r="I329" s="372"/>
      <c r="J329" s="323"/>
      <c r="K329" s="231"/>
    </row>
    <row r="330" spans="2:11" s="18" customFormat="1" x14ac:dyDescent="0.25">
      <c r="B330" s="322"/>
      <c r="H330" s="339">
        <f>SUM(H328:H329)</f>
        <v>360</v>
      </c>
      <c r="I330" s="162"/>
      <c r="J330" s="339">
        <f>SUM(J328:J329)</f>
        <v>360</v>
      </c>
      <c r="K330" s="231"/>
    </row>
    <row r="331" spans="2:11" s="18" customFormat="1" x14ac:dyDescent="0.25">
      <c r="B331" s="322"/>
      <c r="H331" s="117"/>
      <c r="I331" s="117"/>
      <c r="J331" s="117"/>
      <c r="K331" s="231"/>
    </row>
    <row r="332" spans="2:11" s="18" customFormat="1" ht="18.75" x14ac:dyDescent="0.25">
      <c r="B332" s="312" t="s">
        <v>464</v>
      </c>
      <c r="C332" s="366" t="s">
        <v>207</v>
      </c>
      <c r="D332" s="302" t="s">
        <v>816</v>
      </c>
      <c r="E332" s="302"/>
      <c r="F332" s="220"/>
      <c r="G332" s="387"/>
      <c r="H332" s="388"/>
      <c r="I332" s="388"/>
      <c r="J332" s="388"/>
      <c r="K332" s="379"/>
    </row>
    <row r="333" spans="2:11" s="18" customFormat="1" ht="21" x14ac:dyDescent="0.45">
      <c r="B333" s="389">
        <v>22.1</v>
      </c>
      <c r="C333" s="293"/>
      <c r="D333" s="392" t="s">
        <v>818</v>
      </c>
      <c r="H333" s="117"/>
      <c r="I333" s="117"/>
      <c r="J333" s="117"/>
      <c r="K333" s="231"/>
    </row>
    <row r="334" spans="2:11" s="18" customFormat="1" x14ac:dyDescent="0.25">
      <c r="B334" s="322"/>
      <c r="D334" s="285" t="s">
        <v>247</v>
      </c>
      <c r="H334" s="804" t="str">
        <f>IF(OR(LEN('פרטי התאגיד'!$G$13)&gt;4, LEN('פרטי התאגיד'!$G$11)&gt;4), "לתקופה", " לשנה שנסתיימה ביום 31 בדצמבר")</f>
        <v xml:space="preserve"> לשנה שנסתיימה ביום 31 בדצמבר</v>
      </c>
      <c r="I334" s="804"/>
      <c r="J334" s="804"/>
      <c r="K334" s="379"/>
    </row>
    <row r="335" spans="2:11" s="18" customFormat="1" x14ac:dyDescent="0.25">
      <c r="B335" s="322"/>
      <c r="D335" s="285"/>
      <c r="E335" s="283"/>
      <c r="H335" s="372">
        <f>IF('פרטי התאגיד'!$G$11="","",IF(LEN('פרטי התאגיד'!$G$11)&gt;4,MID('פרטי התאגיד'!$G$11,4,2)&amp;"-12/"&amp;MID('פרטי התאגיד'!$G$11,7,4),IF(LEN(J335)&gt;4,"1-12/"&amp;'פרטי התאגיד'!$G$11,'פרטי התאגיד'!$G$11)))</f>
        <v>2024</v>
      </c>
      <c r="I335" s="162"/>
      <c r="J335" s="372">
        <f>IF('פרטי התאגיד'!$G$13="","",IF(LEN('פרטי התאגיד'!$G$13)=4,'פרטי התאגיד'!$G$13,MID('פרטי התאגיד'!$G$13,4,2)&amp;"-12/"&amp;MID('פרטי התאגיד'!$G$13,7,4)))</f>
        <v>2023</v>
      </c>
      <c r="K335" s="380"/>
    </row>
    <row r="336" spans="2:11" s="18" customFormat="1" x14ac:dyDescent="0.25">
      <c r="B336" s="322"/>
      <c r="D336" s="18" t="s">
        <v>465</v>
      </c>
      <c r="E336" s="283" t="s">
        <v>466</v>
      </c>
      <c r="H336" s="372"/>
      <c r="I336" s="372"/>
      <c r="J336" s="372"/>
      <c r="K336" s="380"/>
    </row>
    <row r="337" spans="2:11" s="18" customFormat="1" x14ac:dyDescent="0.25">
      <c r="B337" s="322"/>
      <c r="E337" s="18" t="s">
        <v>467</v>
      </c>
      <c r="H337" s="323">
        <v>27533</v>
      </c>
      <c r="I337" s="117"/>
      <c r="J337" s="323">
        <v>24702</v>
      </c>
      <c r="K337" s="231"/>
    </row>
    <row r="338" spans="2:11" s="18" customFormat="1" x14ac:dyDescent="0.25">
      <c r="B338" s="322"/>
      <c r="E338" s="18" t="s">
        <v>468</v>
      </c>
      <c r="H338" s="323">
        <v>1356</v>
      </c>
      <c r="I338" s="117"/>
      <c r="J338" s="323">
        <v>1785</v>
      </c>
      <c r="K338" s="231"/>
    </row>
    <row r="339" spans="2:11" s="18" customFormat="1" x14ac:dyDescent="0.25">
      <c r="B339" s="322"/>
      <c r="E339" s="18" t="s">
        <v>469</v>
      </c>
      <c r="H339" s="323"/>
      <c r="I339" s="117"/>
      <c r="J339" s="323"/>
      <c r="K339" s="231"/>
    </row>
    <row r="340" spans="2:11" s="18" customFormat="1" x14ac:dyDescent="0.25">
      <c r="B340" s="322"/>
      <c r="E340" s="18" t="s">
        <v>470</v>
      </c>
      <c r="H340" s="323">
        <v>1649</v>
      </c>
      <c r="I340" s="117"/>
      <c r="J340" s="323">
        <f>27809-26487-558</f>
        <v>764</v>
      </c>
      <c r="K340" s="231"/>
    </row>
    <row r="341" spans="2:11" s="18" customFormat="1" x14ac:dyDescent="0.25">
      <c r="B341" s="322"/>
      <c r="H341" s="339">
        <f>SUM(H337:H340)</f>
        <v>30538</v>
      </c>
      <c r="I341" s="162"/>
      <c r="J341" s="339">
        <f>SUM(J337:J340)</f>
        <v>27251</v>
      </c>
      <c r="K341" s="231"/>
    </row>
    <row r="342" spans="2:11" s="18" customFormat="1" x14ac:dyDescent="0.25">
      <c r="B342" s="322"/>
      <c r="D342" s="18" t="s">
        <v>471</v>
      </c>
      <c r="E342" s="283" t="s">
        <v>472</v>
      </c>
      <c r="H342" s="117"/>
      <c r="I342" s="117"/>
      <c r="J342" s="117"/>
      <c r="K342" s="231"/>
    </row>
    <row r="343" spans="2:11" s="18" customFormat="1" x14ac:dyDescent="0.25">
      <c r="B343" s="322"/>
      <c r="E343" s="79" t="s">
        <v>473</v>
      </c>
      <c r="H343" s="323">
        <v>1993</v>
      </c>
      <c r="I343" s="117"/>
      <c r="J343" s="323">
        <f>1202+483</f>
        <v>1685</v>
      </c>
      <c r="K343" s="231"/>
    </row>
    <row r="344" spans="2:11" s="18" customFormat="1" x14ac:dyDescent="0.25">
      <c r="B344" s="322"/>
      <c r="E344" s="79" t="s">
        <v>474</v>
      </c>
      <c r="H344" s="323">
        <v>96</v>
      </c>
      <c r="I344" s="117"/>
      <c r="J344" s="323">
        <v>94</v>
      </c>
      <c r="K344" s="231"/>
    </row>
    <row r="345" spans="2:11" s="18" customFormat="1" x14ac:dyDescent="0.25">
      <c r="B345" s="322"/>
      <c r="E345" s="79" t="s">
        <v>475</v>
      </c>
      <c r="H345" s="323">
        <f>248+9182</f>
        <v>9430</v>
      </c>
      <c r="I345" s="117"/>
      <c r="J345" s="323">
        <f>625+9075+1-483</f>
        <v>9218</v>
      </c>
      <c r="K345" s="231"/>
    </row>
    <row r="346" spans="2:11" s="18" customFormat="1" x14ac:dyDescent="0.25">
      <c r="B346" s="322"/>
      <c r="E346" s="79" t="s">
        <v>476</v>
      </c>
      <c r="H346" s="323"/>
      <c r="I346" s="117"/>
      <c r="J346" s="323"/>
      <c r="K346" s="231"/>
    </row>
    <row r="347" spans="2:11" s="18" customFormat="1" x14ac:dyDescent="0.25">
      <c r="B347" s="322"/>
      <c r="E347" s="79" t="s">
        <v>477</v>
      </c>
      <c r="H347" s="323">
        <v>554</v>
      </c>
      <c r="I347" s="117"/>
      <c r="J347" s="323">
        <f>541+2</f>
        <v>543</v>
      </c>
      <c r="K347" s="231"/>
    </row>
    <row r="348" spans="2:11" s="18" customFormat="1" x14ac:dyDescent="0.25">
      <c r="B348" s="322"/>
      <c r="E348" s="79" t="s">
        <v>478</v>
      </c>
      <c r="H348" s="323"/>
      <c r="I348" s="117"/>
      <c r="J348" s="323"/>
      <c r="K348" s="231"/>
    </row>
    <row r="349" spans="2:11" s="18" customFormat="1" x14ac:dyDescent="0.25">
      <c r="B349" s="322"/>
      <c r="E349" s="79" t="s">
        <v>479</v>
      </c>
      <c r="H349" s="323">
        <f>425-1</f>
        <v>424</v>
      </c>
      <c r="I349" s="117"/>
      <c r="J349" s="323">
        <v>411</v>
      </c>
      <c r="K349" s="231"/>
    </row>
    <row r="350" spans="2:11" s="18" customFormat="1" x14ac:dyDescent="0.25">
      <c r="B350" s="322"/>
      <c r="E350" s="95" t="s">
        <v>480</v>
      </c>
      <c r="H350" s="323">
        <v>1096</v>
      </c>
      <c r="I350" s="117"/>
      <c r="J350" s="323">
        <v>1096</v>
      </c>
      <c r="K350" s="231"/>
    </row>
    <row r="351" spans="2:11" s="18" customFormat="1" x14ac:dyDescent="0.25">
      <c r="B351" s="322"/>
      <c r="E351" s="79" t="s">
        <v>481</v>
      </c>
      <c r="H351" s="323">
        <v>5962</v>
      </c>
      <c r="I351" s="117"/>
      <c r="J351" s="323">
        <v>4423</v>
      </c>
      <c r="K351" s="231"/>
    </row>
    <row r="352" spans="2:11" s="18" customFormat="1" x14ac:dyDescent="0.25">
      <c r="B352" s="322"/>
      <c r="E352" s="79" t="s">
        <v>482</v>
      </c>
      <c r="H352" s="323"/>
      <c r="I352" s="117"/>
      <c r="J352" s="323"/>
      <c r="K352" s="231"/>
    </row>
    <row r="353" spans="2:11" s="18" customFormat="1" x14ac:dyDescent="0.25">
      <c r="B353" s="322"/>
      <c r="E353" s="79" t="s">
        <v>483</v>
      </c>
      <c r="H353" s="323"/>
      <c r="I353" s="117"/>
      <c r="J353" s="323"/>
      <c r="K353" s="231"/>
    </row>
    <row r="354" spans="2:11" s="18" customFormat="1" x14ac:dyDescent="0.25">
      <c r="B354" s="322"/>
      <c r="E354" s="79" t="s">
        <v>484</v>
      </c>
      <c r="H354" s="323">
        <f>485+3</f>
        <v>488</v>
      </c>
      <c r="I354" s="117"/>
      <c r="J354" s="323">
        <f>501-119</f>
        <v>382</v>
      </c>
      <c r="K354" s="231"/>
    </row>
    <row r="355" spans="2:11" s="18" customFormat="1" x14ac:dyDescent="0.25">
      <c r="B355" s="322"/>
      <c r="E355" s="79" t="s">
        <v>842</v>
      </c>
      <c r="H355" s="323"/>
      <c r="I355" s="117"/>
      <c r="J355" s="323"/>
      <c r="K355" s="231"/>
    </row>
    <row r="356" spans="2:11" s="18" customFormat="1" x14ac:dyDescent="0.25">
      <c r="B356" s="322"/>
      <c r="E356" s="287" t="s">
        <v>857</v>
      </c>
      <c r="H356" s="323">
        <v>51</v>
      </c>
      <c r="I356" s="117"/>
      <c r="J356" s="323">
        <v>47</v>
      </c>
      <c r="K356" s="231"/>
    </row>
    <row r="357" spans="2:11" s="18" customFormat="1" x14ac:dyDescent="0.25">
      <c r="B357" s="322"/>
      <c r="H357" s="339">
        <f>SUM(H343:H356)</f>
        <v>20094</v>
      </c>
      <c r="I357" s="162"/>
      <c r="J357" s="339">
        <f>SUM(J343:J356)</f>
        <v>17899</v>
      </c>
      <c r="K357" s="231"/>
    </row>
    <row r="358" spans="2:11" s="18" customFormat="1" x14ac:dyDescent="0.25">
      <c r="B358" s="322"/>
      <c r="H358" s="117"/>
      <c r="I358" s="117"/>
      <c r="J358" s="117"/>
      <c r="K358" s="231"/>
    </row>
    <row r="359" spans="2:11" s="18" customFormat="1" x14ac:dyDescent="0.25">
      <c r="B359" s="322"/>
      <c r="D359" s="18" t="s">
        <v>485</v>
      </c>
      <c r="E359" s="283" t="s">
        <v>486</v>
      </c>
      <c r="H359" s="117"/>
      <c r="I359" s="117"/>
      <c r="J359" s="117"/>
      <c r="K359" s="231"/>
    </row>
    <row r="360" spans="2:11" s="18" customFormat="1" x14ac:dyDescent="0.25">
      <c r="B360" s="322"/>
      <c r="E360" s="18" t="s">
        <v>487</v>
      </c>
      <c r="H360" s="323">
        <v>10423</v>
      </c>
      <c r="I360" s="117"/>
      <c r="J360" s="323">
        <v>7174</v>
      </c>
      <c r="K360" s="231"/>
    </row>
    <row r="361" spans="2:11" s="18" customFormat="1" x14ac:dyDescent="0.25">
      <c r="B361" s="322"/>
      <c r="E361" s="79" t="s">
        <v>473</v>
      </c>
      <c r="H361" s="323"/>
      <c r="I361" s="117"/>
      <c r="J361" s="323"/>
      <c r="K361" s="231"/>
    </row>
    <row r="362" spans="2:11" s="18" customFormat="1" x14ac:dyDescent="0.25">
      <c r="B362" s="322"/>
      <c r="E362" s="79" t="s">
        <v>474</v>
      </c>
      <c r="H362" s="323"/>
      <c r="I362" s="117"/>
      <c r="J362" s="323"/>
      <c r="K362" s="231"/>
    </row>
    <row r="363" spans="2:11" s="18" customFormat="1" x14ac:dyDescent="0.25">
      <c r="B363" s="322"/>
      <c r="E363" s="79" t="s">
        <v>488</v>
      </c>
      <c r="H363" s="323"/>
      <c r="I363" s="117"/>
      <c r="J363" s="323"/>
      <c r="K363" s="231"/>
    </row>
    <row r="364" spans="2:11" s="18" customFormat="1" x14ac:dyDescent="0.25">
      <c r="B364" s="322"/>
      <c r="E364" s="79" t="s">
        <v>477</v>
      </c>
      <c r="H364" s="323"/>
      <c r="I364" s="117"/>
      <c r="J364" s="323"/>
      <c r="K364" s="231"/>
    </row>
    <row r="365" spans="2:11" s="18" customFormat="1" x14ac:dyDescent="0.25">
      <c r="B365" s="322"/>
      <c r="E365" s="79" t="s">
        <v>478</v>
      </c>
      <c r="H365" s="323"/>
      <c r="I365" s="117"/>
      <c r="J365" s="323"/>
      <c r="K365" s="231"/>
    </row>
    <row r="366" spans="2:11" s="18" customFormat="1" x14ac:dyDescent="0.25">
      <c r="B366" s="322"/>
      <c r="E366" s="79" t="s">
        <v>479</v>
      </c>
      <c r="H366" s="323"/>
      <c r="I366" s="117"/>
      <c r="J366" s="323"/>
      <c r="K366" s="231"/>
    </row>
    <row r="367" spans="2:11" s="18" customFormat="1" x14ac:dyDescent="0.25">
      <c r="B367" s="322"/>
      <c r="E367" s="79" t="s">
        <v>489</v>
      </c>
      <c r="F367" s="79"/>
      <c r="G367" s="79"/>
      <c r="H367" s="323"/>
      <c r="I367" s="117"/>
      <c r="J367" s="323"/>
      <c r="K367" s="231"/>
    </row>
    <row r="368" spans="2:11" s="18" customFormat="1" x14ac:dyDescent="0.25">
      <c r="B368" s="322"/>
      <c r="E368" s="79" t="s">
        <v>490</v>
      </c>
      <c r="F368" s="79"/>
      <c r="G368" s="79"/>
      <c r="H368" s="323"/>
      <c r="I368" s="117"/>
      <c r="J368" s="323"/>
      <c r="K368" s="231"/>
    </row>
    <row r="369" spans="2:11" s="18" customFormat="1" x14ac:dyDescent="0.25">
      <c r="B369" s="322"/>
      <c r="E369" s="287" t="s">
        <v>491</v>
      </c>
      <c r="H369" s="323"/>
      <c r="I369" s="117"/>
      <c r="J369" s="323"/>
      <c r="K369" s="231"/>
    </row>
    <row r="370" spans="2:11" s="18" customFormat="1" x14ac:dyDescent="0.25">
      <c r="B370" s="322"/>
      <c r="E370" s="287" t="s">
        <v>492</v>
      </c>
      <c r="H370" s="323"/>
      <c r="I370" s="117"/>
      <c r="J370" s="323"/>
      <c r="K370" s="231"/>
    </row>
    <row r="371" spans="2:11" s="18" customFormat="1" x14ac:dyDescent="0.25">
      <c r="B371" s="322"/>
      <c r="E371" s="287" t="s">
        <v>493</v>
      </c>
      <c r="H371" s="323">
        <v>-25</v>
      </c>
      <c r="I371" s="117"/>
      <c r="J371" s="323">
        <v>97</v>
      </c>
      <c r="K371" s="231"/>
    </row>
    <row r="372" spans="2:11" s="18" customFormat="1" x14ac:dyDescent="0.25">
      <c r="B372" s="322"/>
      <c r="E372" s="79" t="s">
        <v>484</v>
      </c>
      <c r="H372" s="323"/>
      <c r="I372" s="117"/>
      <c r="J372" s="323"/>
      <c r="K372" s="231"/>
    </row>
    <row r="373" spans="2:11" s="18" customFormat="1" x14ac:dyDescent="0.25">
      <c r="B373" s="322"/>
      <c r="E373" s="79" t="s">
        <v>482</v>
      </c>
      <c r="H373" s="323"/>
      <c r="I373" s="117"/>
      <c r="J373" s="323"/>
      <c r="K373" s="231"/>
    </row>
    <row r="374" spans="2:11" s="18" customFormat="1" x14ac:dyDescent="0.25">
      <c r="B374" s="322"/>
      <c r="E374" s="79" t="s">
        <v>494</v>
      </c>
      <c r="H374" s="323">
        <v>61</v>
      </c>
      <c r="I374" s="117"/>
      <c r="J374" s="323">
        <v>57</v>
      </c>
      <c r="K374" s="231"/>
    </row>
    <row r="375" spans="2:11" s="18" customFormat="1" x14ac:dyDescent="0.25">
      <c r="B375" s="322"/>
      <c r="E375" s="79" t="s">
        <v>495</v>
      </c>
      <c r="H375" s="323"/>
      <c r="I375" s="117"/>
      <c r="J375" s="323"/>
      <c r="K375" s="231"/>
    </row>
    <row r="376" spans="2:11" s="18" customFormat="1" x14ac:dyDescent="0.25">
      <c r="B376" s="322"/>
      <c r="E376" s="79" t="s">
        <v>481</v>
      </c>
      <c r="H376" s="323"/>
      <c r="I376" s="117"/>
      <c r="J376" s="323"/>
      <c r="K376" s="231"/>
    </row>
    <row r="377" spans="2:11" s="18" customFormat="1" x14ac:dyDescent="0.25">
      <c r="B377" s="322"/>
      <c r="E377" s="79" t="s">
        <v>842</v>
      </c>
      <c r="H377" s="323"/>
      <c r="I377" s="117"/>
      <c r="J377" s="323"/>
      <c r="K377" s="231"/>
    </row>
    <row r="378" spans="2:11" s="18" customFormat="1" x14ac:dyDescent="0.25">
      <c r="B378" s="322"/>
      <c r="E378" s="287" t="s">
        <v>9</v>
      </c>
      <c r="H378" s="323"/>
      <c r="I378" s="117"/>
      <c r="J378" s="323"/>
      <c r="K378" s="231"/>
    </row>
    <row r="379" spans="2:11" s="18" customFormat="1" x14ac:dyDescent="0.25">
      <c r="B379" s="322"/>
      <c r="H379" s="339">
        <f>SUM(H360:H378)</f>
        <v>10459</v>
      </c>
      <c r="I379" s="162"/>
      <c r="J379" s="339">
        <f>SUM(J360:J378)</f>
        <v>7328</v>
      </c>
      <c r="K379" s="231"/>
    </row>
    <row r="380" spans="2:11" s="18" customFormat="1" x14ac:dyDescent="0.25">
      <c r="B380" s="322"/>
      <c r="H380" s="117"/>
      <c r="I380" s="117"/>
      <c r="J380" s="117"/>
      <c r="K380" s="231"/>
    </row>
    <row r="381" spans="2:11" s="18" customFormat="1" x14ac:dyDescent="0.25">
      <c r="B381" s="322"/>
      <c r="E381" s="18" t="s">
        <v>496</v>
      </c>
      <c r="H381" s="339">
        <f>H341-H357-H379</f>
        <v>-15</v>
      </c>
      <c r="I381" s="162"/>
      <c r="J381" s="339">
        <f>J341-J357-J379</f>
        <v>2024</v>
      </c>
      <c r="K381" s="231"/>
    </row>
    <row r="382" spans="2:11" s="18" customFormat="1" x14ac:dyDescent="0.25">
      <c r="B382" s="322"/>
      <c r="H382" s="117"/>
      <c r="I382" s="117"/>
      <c r="J382" s="117"/>
      <c r="K382" s="231"/>
    </row>
    <row r="383" spans="2:11" s="18" customFormat="1" x14ac:dyDescent="0.25">
      <c r="B383" s="322"/>
      <c r="H383" s="117"/>
      <c r="I383" s="117"/>
      <c r="J383" s="117"/>
      <c r="K383" s="231"/>
    </row>
    <row r="384" spans="2:11" s="18" customFormat="1" ht="21" x14ac:dyDescent="0.45">
      <c r="B384" s="389">
        <v>22.2</v>
      </c>
      <c r="C384" s="296"/>
      <c r="D384" s="294" t="s">
        <v>817</v>
      </c>
      <c r="H384" s="117"/>
      <c r="I384" s="117"/>
      <c r="J384" s="117"/>
      <c r="K384" s="231"/>
    </row>
    <row r="385" spans="2:11" s="18" customFormat="1" x14ac:dyDescent="0.25">
      <c r="B385" s="322"/>
      <c r="H385" s="117"/>
      <c r="I385" s="117"/>
      <c r="J385" s="117"/>
      <c r="K385" s="231"/>
    </row>
    <row r="386" spans="2:11" s="18" customFormat="1" x14ac:dyDescent="0.25">
      <c r="B386" s="322"/>
      <c r="D386" s="285" t="s">
        <v>247</v>
      </c>
      <c r="H386" s="804" t="str">
        <f>IF(OR(LEN('פרטי התאגיד'!$G$13)&gt;4, LEN('פרטי התאגיד'!$G$11)&gt;4), "לתקופה", " לשנה שנסתיימה ביום 31 בדצמבר")</f>
        <v xml:space="preserve"> לשנה שנסתיימה ביום 31 בדצמבר</v>
      </c>
      <c r="I386" s="804"/>
      <c r="J386" s="804"/>
      <c r="K386" s="379"/>
    </row>
    <row r="387" spans="2:11" s="18" customFormat="1" x14ac:dyDescent="0.25">
      <c r="B387" s="322"/>
      <c r="E387" s="283"/>
      <c r="H387" s="372">
        <f>IF('פרטי התאגיד'!$G$11="","",IF(LEN('פרטי התאגיד'!$G$11)&gt;4,MID('פרטי התאגיד'!$G$11,4,2)&amp;"-12/"&amp;MID('פרטי התאגיד'!$G$11,7,4),IF(LEN(J387)&gt;4,"1-12/"&amp;'פרטי התאגיד'!$G$11,'פרטי התאגיד'!$G$11)))</f>
        <v>2024</v>
      </c>
      <c r="I387" s="162"/>
      <c r="J387" s="372">
        <f>IF('פרטי התאגיד'!$G$13="","",IF(LEN('פרטי התאגיד'!$G$13)=4,'פרטי התאגיד'!$G$13,MID('פרטי התאגיד'!$G$13,4,2)&amp;"-12/"&amp;MID('פרטי התאגיד'!$G$13,7,4)))</f>
        <v>2023</v>
      </c>
      <c r="K387" s="380"/>
    </row>
    <row r="388" spans="2:11" s="18" customFormat="1" x14ac:dyDescent="0.25">
      <c r="B388" s="322"/>
      <c r="D388" s="18" t="s">
        <v>497</v>
      </c>
      <c r="E388" s="283" t="s">
        <v>466</v>
      </c>
      <c r="K388" s="231"/>
    </row>
    <row r="389" spans="2:11" s="18" customFormat="1" x14ac:dyDescent="0.25">
      <c r="B389" s="322"/>
      <c r="E389" s="18" t="s">
        <v>498</v>
      </c>
      <c r="H389" s="323">
        <v>39977</v>
      </c>
      <c r="I389" s="117"/>
      <c r="J389" s="323">
        <v>38971</v>
      </c>
      <c r="K389" s="231"/>
    </row>
    <row r="390" spans="2:11" s="18" customFormat="1" x14ac:dyDescent="0.25">
      <c r="B390" s="322"/>
      <c r="E390" s="18" t="s">
        <v>499</v>
      </c>
      <c r="H390" s="323"/>
      <c r="I390" s="117"/>
      <c r="J390" s="323"/>
      <c r="K390" s="231"/>
    </row>
    <row r="391" spans="2:11" s="18" customFormat="1" x14ac:dyDescent="0.25">
      <c r="B391" s="322"/>
      <c r="E391" s="18" t="s">
        <v>500</v>
      </c>
      <c r="H391" s="323">
        <v>26</v>
      </c>
      <c r="I391" s="117"/>
      <c r="J391" s="323">
        <v>34</v>
      </c>
      <c r="K391" s="231"/>
    </row>
    <row r="392" spans="2:11" s="18" customFormat="1" x14ac:dyDescent="0.25">
      <c r="B392" s="322"/>
      <c r="E392" s="18" t="s">
        <v>501</v>
      </c>
      <c r="H392" s="323">
        <v>1529</v>
      </c>
      <c r="I392" s="117"/>
      <c r="J392" s="323">
        <v>2012</v>
      </c>
      <c r="K392" s="231"/>
    </row>
    <row r="393" spans="2:11" s="18" customFormat="1" x14ac:dyDescent="0.25">
      <c r="B393" s="322"/>
      <c r="E393" s="18" t="s">
        <v>502</v>
      </c>
      <c r="H393" s="323"/>
      <c r="I393" s="117"/>
      <c r="J393" s="323"/>
      <c r="K393" s="231"/>
    </row>
    <row r="394" spans="2:11" s="18" customFormat="1" x14ac:dyDescent="0.25">
      <c r="B394" s="322"/>
      <c r="H394" s="339">
        <f>SUM(H389:H393)</f>
        <v>41532</v>
      </c>
      <c r="I394" s="162"/>
      <c r="J394" s="339">
        <f>SUM(J389:J393)</f>
        <v>41017</v>
      </c>
      <c r="K394" s="231"/>
    </row>
    <row r="395" spans="2:11" s="18" customFormat="1" x14ac:dyDescent="0.25">
      <c r="B395" s="322"/>
      <c r="D395" s="18" t="s">
        <v>503</v>
      </c>
      <c r="E395" s="283" t="s">
        <v>504</v>
      </c>
      <c r="H395" s="117"/>
      <c r="I395" s="117"/>
      <c r="J395" s="117"/>
      <c r="K395" s="231"/>
    </row>
    <row r="396" spans="2:11" s="18" customFormat="1" x14ac:dyDescent="0.25">
      <c r="B396" s="322"/>
      <c r="E396" s="18" t="s">
        <v>473</v>
      </c>
      <c r="H396" s="323">
        <v>1993</v>
      </c>
      <c r="I396" s="117"/>
      <c r="J396" s="323">
        <f>1202+483</f>
        <v>1685</v>
      </c>
      <c r="K396" s="231"/>
    </row>
    <row r="397" spans="2:11" s="18" customFormat="1" x14ac:dyDescent="0.25">
      <c r="B397" s="322"/>
      <c r="E397" s="18" t="s">
        <v>474</v>
      </c>
      <c r="H397" s="323">
        <v>696</v>
      </c>
      <c r="I397" s="117"/>
      <c r="J397" s="323">
        <v>366</v>
      </c>
      <c r="K397" s="231"/>
    </row>
    <row r="398" spans="2:11" s="18" customFormat="1" x14ac:dyDescent="0.25">
      <c r="B398" s="322"/>
      <c r="E398" s="79" t="s">
        <v>475</v>
      </c>
      <c r="H398" s="323">
        <v>6981</v>
      </c>
      <c r="I398" s="117"/>
      <c r="J398" s="323">
        <f>6746+1-483</f>
        <v>6264</v>
      </c>
      <c r="K398" s="231"/>
    </row>
    <row r="399" spans="2:11" s="18" customFormat="1" x14ac:dyDescent="0.25">
      <c r="B399" s="322"/>
      <c r="E399" s="79" t="s">
        <v>476</v>
      </c>
      <c r="H399" s="323"/>
      <c r="I399" s="117"/>
      <c r="J399" s="323"/>
      <c r="K399" s="231"/>
    </row>
    <row r="400" spans="2:11" s="18" customFormat="1" x14ac:dyDescent="0.25">
      <c r="B400" s="322"/>
      <c r="E400" s="18" t="s">
        <v>477</v>
      </c>
      <c r="H400" s="323"/>
      <c r="I400" s="117"/>
      <c r="J400" s="323"/>
      <c r="K400" s="231"/>
    </row>
    <row r="401" spans="2:11" s="18" customFormat="1" x14ac:dyDescent="0.25">
      <c r="B401" s="322"/>
      <c r="E401" s="18" t="s">
        <v>478</v>
      </c>
      <c r="H401" s="323"/>
      <c r="I401" s="117"/>
      <c r="J401" s="323"/>
      <c r="K401" s="231"/>
    </row>
    <row r="402" spans="2:11" s="18" customFormat="1" x14ac:dyDescent="0.25">
      <c r="B402" s="322"/>
      <c r="E402" s="18" t="s">
        <v>479</v>
      </c>
      <c r="H402" s="323">
        <v>425</v>
      </c>
      <c r="I402" s="117"/>
      <c r="J402" s="323">
        <v>411</v>
      </c>
      <c r="K402" s="231"/>
    </row>
    <row r="403" spans="2:11" s="18" customFormat="1" x14ac:dyDescent="0.25">
      <c r="B403" s="322"/>
      <c r="E403" s="18" t="s">
        <v>484</v>
      </c>
      <c r="H403" s="323">
        <v>281</v>
      </c>
      <c r="I403" s="117"/>
      <c r="J403" s="323">
        <f>262+119</f>
        <v>381</v>
      </c>
      <c r="K403" s="231"/>
    </row>
    <row r="404" spans="2:11" s="18" customFormat="1" x14ac:dyDescent="0.25">
      <c r="B404" s="322"/>
      <c r="E404" s="18" t="s">
        <v>481</v>
      </c>
      <c r="H404" s="323">
        <v>7332</v>
      </c>
      <c r="I404" s="117"/>
      <c r="J404" s="323">
        <v>6581</v>
      </c>
      <c r="K404" s="231"/>
    </row>
    <row r="405" spans="2:11" s="18" customFormat="1" x14ac:dyDescent="0.25">
      <c r="B405" s="322"/>
      <c r="E405" s="18" t="s">
        <v>505</v>
      </c>
      <c r="H405" s="323">
        <v>86</v>
      </c>
      <c r="I405" s="117"/>
      <c r="J405" s="323">
        <v>91</v>
      </c>
      <c r="K405" s="231"/>
    </row>
    <row r="406" spans="2:11" s="18" customFormat="1" x14ac:dyDescent="0.25">
      <c r="B406" s="322"/>
      <c r="E406" s="18" t="s">
        <v>506</v>
      </c>
      <c r="H406" s="323">
        <v>4130</v>
      </c>
      <c r="I406" s="117"/>
      <c r="J406" s="323">
        <v>3748</v>
      </c>
      <c r="K406" s="231"/>
    </row>
    <row r="407" spans="2:11" s="18" customFormat="1" x14ac:dyDescent="0.25">
      <c r="B407" s="322"/>
      <c r="E407" s="79" t="s">
        <v>494</v>
      </c>
      <c r="H407" s="323">
        <v>61</v>
      </c>
      <c r="I407" s="117"/>
      <c r="J407" s="323">
        <v>57</v>
      </c>
      <c r="K407" s="231"/>
    </row>
    <row r="408" spans="2:11" s="18" customFormat="1" x14ac:dyDescent="0.25">
      <c r="B408" s="322"/>
      <c r="E408" s="18" t="s">
        <v>507</v>
      </c>
      <c r="H408" s="323"/>
      <c r="I408" s="117"/>
      <c r="J408" s="323"/>
      <c r="K408" s="231"/>
    </row>
    <row r="409" spans="2:11" s="18" customFormat="1" x14ac:dyDescent="0.25">
      <c r="B409" s="322"/>
      <c r="E409" s="18" t="s">
        <v>842</v>
      </c>
      <c r="H409" s="323">
        <v>51</v>
      </c>
      <c r="I409" s="117"/>
      <c r="J409" s="323">
        <v>47</v>
      </c>
      <c r="K409" s="231"/>
    </row>
    <row r="410" spans="2:11" s="18" customFormat="1" x14ac:dyDescent="0.25">
      <c r="B410" s="322"/>
      <c r="E410" s="287" t="s">
        <v>9</v>
      </c>
      <c r="H410" s="323"/>
      <c r="I410" s="117"/>
      <c r="J410" s="323"/>
      <c r="K410" s="231"/>
    </row>
    <row r="411" spans="2:11" s="18" customFormat="1" x14ac:dyDescent="0.25">
      <c r="B411" s="322"/>
      <c r="H411" s="339">
        <f>SUM(H396:H410)</f>
        <v>22036</v>
      </c>
      <c r="I411" s="162"/>
      <c r="J411" s="339">
        <f>SUM(J396:J410)</f>
        <v>19631</v>
      </c>
      <c r="K411" s="231"/>
    </row>
    <row r="412" spans="2:11" s="18" customFormat="1" x14ac:dyDescent="0.25">
      <c r="B412" s="381"/>
      <c r="D412" s="18" t="s">
        <v>508</v>
      </c>
      <c r="E412" s="283" t="s">
        <v>509</v>
      </c>
      <c r="I412" s="117"/>
      <c r="J412" s="117"/>
      <c r="K412" s="231"/>
    </row>
    <row r="413" spans="2:11" s="18" customFormat="1" x14ac:dyDescent="0.25">
      <c r="B413" s="322"/>
      <c r="E413" s="18" t="s">
        <v>473</v>
      </c>
      <c r="H413" s="323"/>
      <c r="I413" s="117"/>
      <c r="J413" s="323"/>
      <c r="K413" s="231"/>
    </row>
    <row r="414" spans="2:11" s="18" customFormat="1" x14ac:dyDescent="0.25">
      <c r="B414" s="322"/>
      <c r="E414" s="18" t="s">
        <v>488</v>
      </c>
      <c r="H414" s="323">
        <f>12603+43</f>
        <v>12646</v>
      </c>
      <c r="I414" s="117"/>
      <c r="J414" s="323">
        <f>12690+23-1193+1</f>
        <v>11521</v>
      </c>
      <c r="K414" s="231"/>
    </row>
    <row r="415" spans="2:11" s="18" customFormat="1" x14ac:dyDescent="0.25">
      <c r="B415" s="322"/>
      <c r="E415" s="18" t="s">
        <v>474</v>
      </c>
      <c r="H415" s="323">
        <v>1815</v>
      </c>
      <c r="I415" s="117"/>
      <c r="J415" s="323">
        <v>1092</v>
      </c>
      <c r="K415" s="231"/>
    </row>
    <row r="416" spans="2:11" s="18" customFormat="1" x14ac:dyDescent="0.25">
      <c r="B416" s="322"/>
      <c r="E416" s="18" t="s">
        <v>477</v>
      </c>
      <c r="H416" s="323"/>
      <c r="I416" s="117"/>
      <c r="J416" s="323"/>
      <c r="K416" s="231"/>
    </row>
    <row r="417" spans="2:11" s="18" customFormat="1" x14ac:dyDescent="0.25">
      <c r="B417" s="322"/>
      <c r="E417" s="18" t="s">
        <v>510</v>
      </c>
      <c r="H417" s="323"/>
      <c r="I417" s="117"/>
      <c r="J417" s="323"/>
      <c r="K417" s="231"/>
    </row>
    <row r="418" spans="2:11" s="18" customFormat="1" x14ac:dyDescent="0.25">
      <c r="B418" s="322"/>
      <c r="E418" s="18" t="s">
        <v>479</v>
      </c>
      <c r="H418" s="323">
        <v>95</v>
      </c>
      <c r="I418" s="117"/>
      <c r="J418" s="323">
        <v>78</v>
      </c>
      <c r="K418" s="231"/>
    </row>
    <row r="419" spans="2:11" s="18" customFormat="1" x14ac:dyDescent="0.25">
      <c r="B419" s="322"/>
      <c r="E419" s="18" t="s">
        <v>511</v>
      </c>
      <c r="H419" s="323"/>
      <c r="I419" s="117"/>
      <c r="J419" s="323"/>
      <c r="K419" s="231"/>
    </row>
    <row r="420" spans="2:11" s="18" customFormat="1" x14ac:dyDescent="0.25">
      <c r="B420" s="322"/>
      <c r="E420" s="18" t="s">
        <v>484</v>
      </c>
      <c r="H420" s="323"/>
      <c r="I420" s="117"/>
      <c r="J420" s="323"/>
      <c r="K420" s="231"/>
    </row>
    <row r="421" spans="2:11" s="18" customFormat="1" x14ac:dyDescent="0.25">
      <c r="B421" s="322"/>
      <c r="E421" s="18" t="s">
        <v>481</v>
      </c>
      <c r="H421" s="323">
        <v>43</v>
      </c>
      <c r="I421" s="117"/>
      <c r="J421" s="323">
        <v>23</v>
      </c>
      <c r="K421" s="231"/>
    </row>
    <row r="422" spans="2:11" s="18" customFormat="1" x14ac:dyDescent="0.25">
      <c r="B422" s="322"/>
      <c r="E422" s="18" t="s">
        <v>512</v>
      </c>
      <c r="H422" s="323"/>
      <c r="I422" s="117"/>
      <c r="J422" s="323"/>
      <c r="K422" s="231"/>
    </row>
    <row r="423" spans="2:11" s="18" customFormat="1" x14ac:dyDescent="0.25">
      <c r="B423" s="322"/>
      <c r="E423" s="18" t="s">
        <v>482</v>
      </c>
      <c r="H423" s="323"/>
      <c r="I423" s="117"/>
      <c r="J423" s="323"/>
      <c r="K423" s="231"/>
    </row>
    <row r="424" spans="2:11" s="18" customFormat="1" x14ac:dyDescent="0.25">
      <c r="B424" s="322"/>
      <c r="E424" s="287" t="s">
        <v>478</v>
      </c>
      <c r="H424" s="323"/>
      <c r="I424" s="117"/>
      <c r="J424" s="323"/>
      <c r="K424" s="231"/>
    </row>
    <row r="425" spans="2:11" s="18" customFormat="1" x14ac:dyDescent="0.25">
      <c r="B425" s="322"/>
      <c r="H425" s="339">
        <f>SUM(H413:H424)</f>
        <v>14599</v>
      </c>
      <c r="I425" s="162"/>
      <c r="J425" s="339">
        <f>SUM(J413:J424)</f>
        <v>12714</v>
      </c>
      <c r="K425" s="231"/>
    </row>
    <row r="426" spans="2:11" s="18" customFormat="1" x14ac:dyDescent="0.25">
      <c r="B426" s="322"/>
      <c r="H426" s="117"/>
      <c r="I426" s="117"/>
      <c r="J426" s="117"/>
      <c r="K426" s="231"/>
    </row>
    <row r="427" spans="2:11" s="18" customFormat="1" x14ac:dyDescent="0.25">
      <c r="B427" s="322"/>
      <c r="E427" s="18" t="s">
        <v>513</v>
      </c>
      <c r="H427" s="117"/>
      <c r="I427" s="117"/>
      <c r="J427" s="117"/>
      <c r="K427" s="231"/>
    </row>
    <row r="428" spans="2:11" s="18" customFormat="1" x14ac:dyDescent="0.25">
      <c r="B428" s="322"/>
      <c r="E428" s="18" t="s">
        <v>514</v>
      </c>
      <c r="H428" s="323"/>
      <c r="I428" s="117"/>
      <c r="J428" s="323"/>
      <c r="K428" s="231"/>
    </row>
    <row r="429" spans="2:11" s="18" customFormat="1" x14ac:dyDescent="0.25">
      <c r="B429" s="322"/>
      <c r="H429" s="117"/>
      <c r="I429" s="117"/>
      <c r="J429" s="117"/>
      <c r="K429" s="231"/>
    </row>
    <row r="430" spans="2:11" s="18" customFormat="1" x14ac:dyDescent="0.25">
      <c r="B430" s="322"/>
      <c r="E430" s="18" t="s">
        <v>515</v>
      </c>
      <c r="H430" s="339">
        <f>H394-H411-H425+H428</f>
        <v>4897</v>
      </c>
      <c r="I430" s="162"/>
      <c r="J430" s="339">
        <f>J394-J411-J425+J428</f>
        <v>8672</v>
      </c>
      <c r="K430" s="231"/>
    </row>
    <row r="431" spans="2:11" s="18" customFormat="1" x14ac:dyDescent="0.25">
      <c r="B431" s="322"/>
      <c r="H431" s="117"/>
      <c r="I431" s="117"/>
      <c r="J431" s="117"/>
      <c r="K431" s="231"/>
    </row>
    <row r="432" spans="2:11" s="18" customFormat="1" x14ac:dyDescent="0.25">
      <c r="B432" s="322"/>
      <c r="H432" s="117"/>
      <c r="I432" s="117"/>
      <c r="J432" s="117"/>
      <c r="K432" s="231"/>
    </row>
    <row r="433" spans="2:11" s="18" customFormat="1" x14ac:dyDescent="0.25">
      <c r="B433" s="322"/>
      <c r="H433" s="117"/>
      <c r="I433" s="117"/>
      <c r="J433" s="117"/>
      <c r="K433" s="231"/>
    </row>
    <row r="434" spans="2:11" s="18" customFormat="1" x14ac:dyDescent="0.25">
      <c r="B434" s="382"/>
      <c r="C434" s="355"/>
      <c r="D434" s="355"/>
      <c r="E434" s="355"/>
      <c r="F434" s="355"/>
      <c r="G434" s="355"/>
      <c r="H434" s="306"/>
      <c r="I434" s="306"/>
      <c r="J434" s="306"/>
      <c r="K434" s="231"/>
    </row>
    <row r="435" spans="2:11" s="18" customFormat="1" x14ac:dyDescent="0.25">
      <c r="B435" s="382"/>
      <c r="C435" s="355"/>
      <c r="D435" s="355"/>
      <c r="E435" s="355"/>
      <c r="F435" s="355"/>
      <c r="G435" s="355"/>
      <c r="H435" s="306"/>
      <c r="I435" s="306"/>
      <c r="J435" s="306"/>
      <c r="K435" s="231"/>
    </row>
    <row r="436" spans="2:11" s="18" customFormat="1" ht="21" x14ac:dyDescent="0.45">
      <c r="B436" s="389">
        <v>22.3</v>
      </c>
      <c r="C436" s="391"/>
      <c r="D436" s="391" t="s">
        <v>516</v>
      </c>
      <c r="E436" s="391"/>
      <c r="F436" s="356"/>
      <c r="G436" s="356"/>
      <c r="H436" s="367"/>
      <c r="I436" s="306"/>
      <c r="J436" s="306"/>
      <c r="K436" s="231"/>
    </row>
    <row r="437" spans="2:11" s="18" customFormat="1" x14ac:dyDescent="0.25">
      <c r="B437" s="382"/>
      <c r="C437" s="355"/>
      <c r="D437" s="355"/>
      <c r="E437" s="355"/>
      <c r="F437" s="355"/>
      <c r="G437" s="355"/>
      <c r="H437" s="374"/>
      <c r="I437" s="374"/>
      <c r="J437" s="374"/>
      <c r="K437" s="231"/>
    </row>
    <row r="438" spans="2:11" s="18" customFormat="1" x14ac:dyDescent="0.25">
      <c r="B438" s="382"/>
      <c r="C438" s="355"/>
      <c r="D438" s="355"/>
      <c r="E438" s="355"/>
      <c r="F438" s="355"/>
      <c r="G438" s="355"/>
      <c r="H438" s="804" t="str">
        <f>IF(OR(LEN('פרטי התאגיד'!$G$13)&gt;4, LEN('פרטי התאגיד'!$G$11)&gt;4), "לתקופה", " לשנה שנסתיימה ביום 31 בדצמבר")</f>
        <v xml:space="preserve"> לשנה שנסתיימה ביום 31 בדצמבר</v>
      </c>
      <c r="I438" s="804"/>
      <c r="J438" s="804"/>
      <c r="K438" s="231"/>
    </row>
    <row r="439" spans="2:11" s="18" customFormat="1" x14ac:dyDescent="0.25">
      <c r="B439" s="382"/>
      <c r="C439" s="355"/>
      <c r="D439" s="355"/>
      <c r="E439" s="355"/>
      <c r="F439" s="355"/>
      <c r="G439" s="355"/>
      <c r="H439" s="372">
        <f>IF('פרטי התאגיד'!$G$11="","",IF(LEN('פרטי התאגיד'!$G$11)&gt;4,MID('פרטי התאגיד'!$G$11,4,2)&amp;"-12/"&amp;MID('פרטי התאגיד'!$G$11,7,4),IF(LEN(J439)&gt;4,"1-12/"&amp;'פרטי התאגיד'!$G$11,'פרטי התאגיד'!$G$11)))</f>
        <v>2024</v>
      </c>
      <c r="I439" s="162"/>
      <c r="J439" s="372">
        <f>IF('פרטי התאגיד'!$G$13="","",IF(LEN('פרטי התאגיד'!$G$13)=4,'פרטי התאגיד'!$G$13,MID('פרטי התאגיד'!$G$13,4,2)&amp;"-12/"&amp;MID('פרטי התאגיד'!$G$13,7,4)))</f>
        <v>2023</v>
      </c>
      <c r="K439" s="231"/>
    </row>
    <row r="440" spans="2:11" s="18" customFormat="1" x14ac:dyDescent="0.25">
      <c r="B440" s="382"/>
      <c r="C440" s="355"/>
      <c r="D440" s="355"/>
      <c r="E440" s="355"/>
      <c r="F440" s="355" t="s">
        <v>517</v>
      </c>
      <c r="G440" s="355"/>
      <c r="H440" s="323"/>
      <c r="I440" s="117"/>
      <c r="J440" s="323"/>
      <c r="K440" s="231"/>
    </row>
    <row r="441" spans="2:11" s="18" customFormat="1" x14ac:dyDescent="0.25">
      <c r="B441" s="382"/>
      <c r="C441" s="355"/>
      <c r="D441" s="355"/>
      <c r="E441" s="355"/>
      <c r="F441" s="355" t="s">
        <v>518</v>
      </c>
      <c r="G441" s="355"/>
      <c r="H441" s="323"/>
      <c r="I441" s="117"/>
      <c r="J441" s="323"/>
      <c r="K441" s="231"/>
    </row>
    <row r="442" spans="2:11" s="18" customFormat="1" x14ac:dyDescent="0.25">
      <c r="B442" s="382"/>
      <c r="C442" s="355"/>
      <c r="D442" s="355"/>
      <c r="E442" s="355"/>
      <c r="F442" s="355" t="s">
        <v>138</v>
      </c>
      <c r="G442" s="355"/>
      <c r="H442" s="339">
        <f>H440-H441</f>
        <v>0</v>
      </c>
      <c r="I442" s="162"/>
      <c r="J442" s="339">
        <f>J440-J441</f>
        <v>0</v>
      </c>
      <c r="K442" s="231"/>
    </row>
    <row r="443" spans="2:11" s="18" customFormat="1" x14ac:dyDescent="0.25">
      <c r="B443" s="382"/>
      <c r="C443" s="355"/>
      <c r="D443" s="355"/>
      <c r="E443" s="355"/>
      <c r="F443" s="355"/>
      <c r="G443" s="355"/>
      <c r="H443" s="306"/>
      <c r="I443" s="306"/>
      <c r="J443" s="306"/>
      <c r="K443" s="231"/>
    </row>
    <row r="444" spans="2:11" s="18" customFormat="1" x14ac:dyDescent="0.25">
      <c r="B444" s="382"/>
      <c r="C444" s="355"/>
      <c r="D444" s="355"/>
      <c r="E444" s="355"/>
      <c r="F444" s="355"/>
      <c r="G444" s="355"/>
      <c r="H444" s="306"/>
      <c r="I444" s="306"/>
      <c r="J444" s="306"/>
      <c r="K444" s="231"/>
    </row>
    <row r="445" spans="2:11" s="18" customFormat="1" ht="21" x14ac:dyDescent="0.45">
      <c r="B445" s="389">
        <v>22.4</v>
      </c>
      <c r="C445" s="390"/>
      <c r="D445" s="391" t="s">
        <v>519</v>
      </c>
      <c r="E445" s="391"/>
      <c r="F445" s="391"/>
      <c r="G445" s="355"/>
      <c r="H445" s="804" t="str">
        <f>IF(OR(LEN('פרטי התאגיד'!$G$13)&gt;4, LEN('פרטי התאגיד'!$G$11)&gt;4), "לתקופה", " לשנה שנסתיימה ביום 31 בדצמבר")</f>
        <v xml:space="preserve"> לשנה שנסתיימה ביום 31 בדצמבר</v>
      </c>
      <c r="I445" s="804"/>
      <c r="J445" s="804"/>
      <c r="K445" s="231"/>
    </row>
    <row r="446" spans="2:11" s="18" customFormat="1" x14ac:dyDescent="0.25">
      <c r="B446" s="382"/>
      <c r="C446" s="355"/>
      <c r="D446" s="355"/>
      <c r="E446" s="355"/>
      <c r="F446" s="357"/>
      <c r="G446" s="355"/>
      <c r="H446" s="372">
        <f>IF('פרטי התאגיד'!$G$11="","",IF(LEN('פרטי התאגיד'!$G$11)&gt;4,MID('פרטי התאגיד'!$G$11,4,2)&amp;"-12/"&amp;MID('פרטי התאגיד'!$G$11,7,4),IF(LEN(J446)&gt;4,"1-12/"&amp;'פרטי התאגיד'!$G$11,'פרטי התאגיד'!$G$11)))</f>
        <v>2024</v>
      </c>
      <c r="I446" s="162"/>
      <c r="J446" s="372">
        <f>IF('פרטי התאגיד'!$G$13="","",IF(LEN('פרטי התאגיד'!$G$13)=4,'פרטי התאגיד'!$G$13,MID('פרטי התאגיד'!$G$13,4,2)&amp;"-12/"&amp;MID('פרטי התאגיד'!$G$13,7,4)))</f>
        <v>2023</v>
      </c>
      <c r="K446" s="231"/>
    </row>
    <row r="447" spans="2:11" s="18" customFormat="1" x14ac:dyDescent="0.25">
      <c r="B447" s="382"/>
      <c r="C447" s="355"/>
      <c r="D447" s="355"/>
      <c r="E447" s="355" t="s">
        <v>520</v>
      </c>
      <c r="F447" s="357" t="s">
        <v>521</v>
      </c>
      <c r="G447" s="355"/>
      <c r="H447" s="372"/>
      <c r="I447" s="372"/>
      <c r="J447" s="372"/>
      <c r="K447" s="231"/>
    </row>
    <row r="448" spans="2:11" s="18" customFormat="1" x14ac:dyDescent="0.25">
      <c r="B448" s="382"/>
      <c r="C448" s="355"/>
      <c r="D448" s="355"/>
      <c r="E448" s="355"/>
      <c r="F448" s="355" t="s">
        <v>522</v>
      </c>
      <c r="G448" s="355"/>
      <c r="H448" s="323">
        <v>348</v>
      </c>
      <c r="I448" s="117"/>
      <c r="J448" s="323">
        <f>1659+2</f>
        <v>1661</v>
      </c>
      <c r="K448" s="231"/>
    </row>
    <row r="449" spans="2:11" s="18" customFormat="1" x14ac:dyDescent="0.25">
      <c r="B449" s="382"/>
      <c r="C449" s="355"/>
      <c r="D449" s="355"/>
      <c r="E449" s="355"/>
      <c r="F449" s="355" t="s">
        <v>523</v>
      </c>
      <c r="G449" s="355"/>
      <c r="H449" s="323"/>
      <c r="I449" s="117"/>
      <c r="J449" s="323"/>
      <c r="K449" s="231"/>
    </row>
    <row r="450" spans="2:11" s="18" customFormat="1" x14ac:dyDescent="0.25">
      <c r="B450" s="382"/>
      <c r="C450" s="355"/>
      <c r="D450" s="355"/>
      <c r="E450" s="355"/>
      <c r="F450" s="719" t="s">
        <v>858</v>
      </c>
      <c r="G450" s="355"/>
      <c r="H450" s="323">
        <v>765</v>
      </c>
      <c r="I450" s="117"/>
      <c r="J450" s="323">
        <v>635</v>
      </c>
      <c r="K450" s="231"/>
    </row>
    <row r="451" spans="2:11" s="18" customFormat="1" x14ac:dyDescent="0.25">
      <c r="B451" s="382"/>
      <c r="C451" s="355"/>
      <c r="D451" s="355"/>
      <c r="E451" s="355"/>
      <c r="F451" s="287" t="s">
        <v>9</v>
      </c>
      <c r="G451" s="355"/>
      <c r="H451" s="323"/>
      <c r="I451" s="117"/>
      <c r="J451" s="323"/>
      <c r="K451" s="231"/>
    </row>
    <row r="452" spans="2:11" s="18" customFormat="1" x14ac:dyDescent="0.25">
      <c r="B452" s="382"/>
      <c r="C452" s="355"/>
      <c r="F452" s="355" t="s">
        <v>138</v>
      </c>
      <c r="H452" s="339">
        <f>SUM(H448:H451)</f>
        <v>1113</v>
      </c>
      <c r="I452" s="162"/>
      <c r="J452" s="339">
        <f>SUM(J448:J451)</f>
        <v>2296</v>
      </c>
      <c r="K452" s="231"/>
    </row>
    <row r="453" spans="2:11" s="18" customFormat="1" x14ac:dyDescent="0.25">
      <c r="B453" s="382"/>
      <c r="C453" s="355"/>
      <c r="D453" s="355"/>
      <c r="E453" s="355"/>
      <c r="F453" s="355"/>
      <c r="G453" s="355"/>
      <c r="H453" s="306"/>
      <c r="I453" s="306"/>
      <c r="J453" s="306"/>
      <c r="K453" s="231"/>
    </row>
    <row r="454" spans="2:11" s="18" customFormat="1" x14ac:dyDescent="0.25">
      <c r="B454" s="382"/>
      <c r="C454" s="355"/>
      <c r="D454" s="355"/>
      <c r="E454" s="355"/>
      <c r="F454" s="355"/>
      <c r="G454" s="355"/>
      <c r="H454" s="306"/>
      <c r="I454" s="306"/>
      <c r="J454" s="306"/>
      <c r="K454" s="231"/>
    </row>
    <row r="455" spans="2:11" s="18" customFormat="1" x14ac:dyDescent="0.25">
      <c r="B455" s="383"/>
      <c r="C455" s="355"/>
      <c r="D455" s="356"/>
      <c r="E455" s="356"/>
      <c r="F455" s="356"/>
      <c r="G455" s="355"/>
      <c r="H455" s="804" t="str">
        <f>IF(OR(LEN('פרטי התאגיד'!$G$13)&gt;4, LEN('פרטי התאגיד'!$G$11)&gt;4), "לתקופה", " לשנה שנסתיימה ביום 31 בדצמבר")</f>
        <v xml:space="preserve"> לשנה שנסתיימה ביום 31 בדצמבר</v>
      </c>
      <c r="I455" s="804"/>
      <c r="J455" s="804"/>
      <c r="K455" s="231"/>
    </row>
    <row r="456" spans="2:11" s="18" customFormat="1" x14ac:dyDescent="0.25">
      <c r="B456" s="382"/>
      <c r="C456" s="355"/>
      <c r="D456" s="355"/>
      <c r="E456" s="355"/>
      <c r="F456" s="355"/>
      <c r="G456" s="355"/>
      <c r="H456" s="372">
        <f>IF('פרטי התאגיד'!$G$11="","",IF(LEN('פרטי התאגיד'!$G$11)&gt;4,MID('פרטי התאגיד'!$G$11,4,2)&amp;"-12/"&amp;MID('פרטי התאגיד'!$G$11,7,4),IF(LEN(J456)&gt;4,"1-12/"&amp;'פרטי התאגיד'!$G$11,'פרטי התאגיד'!$G$11)))</f>
        <v>2024</v>
      </c>
      <c r="I456" s="162"/>
      <c r="J456" s="372">
        <f>IF('פרטי התאגיד'!$G$13="","",IF(LEN('פרטי התאגיד'!$G$13)=4,'פרטי התאגיד'!$G$13,MID('פרטי התאגיד'!$G$13,4,2)&amp;"-12/"&amp;MID('פרטי התאגיד'!$G$13,7,4)))</f>
        <v>2023</v>
      </c>
      <c r="K456" s="231"/>
    </row>
    <row r="457" spans="2:11" s="18" customFormat="1" x14ac:dyDescent="0.25">
      <c r="B457" s="382"/>
      <c r="C457" s="355"/>
      <c r="D457" s="355"/>
      <c r="E457" s="355" t="s">
        <v>520</v>
      </c>
      <c r="F457" s="357" t="s">
        <v>524</v>
      </c>
      <c r="G457" s="355"/>
      <c r="H457" s="355"/>
      <c r="I457" s="355"/>
      <c r="J457" s="355"/>
      <c r="K457" s="384"/>
    </row>
    <row r="458" spans="2:11" s="18" customFormat="1" x14ac:dyDescent="0.25">
      <c r="B458" s="382"/>
      <c r="C458" s="355"/>
      <c r="D458" s="355"/>
      <c r="E458" s="355"/>
      <c r="F458" s="355" t="s">
        <v>522</v>
      </c>
      <c r="G458" s="355"/>
      <c r="H458" s="323">
        <v>135</v>
      </c>
      <c r="I458" s="117"/>
      <c r="J458" s="323"/>
      <c r="K458" s="231"/>
    </row>
    <row r="459" spans="2:11" s="18" customFormat="1" x14ac:dyDescent="0.25">
      <c r="B459" s="382"/>
      <c r="C459" s="355"/>
      <c r="D459" s="355"/>
      <c r="E459" s="355"/>
      <c r="F459" s="355" t="s">
        <v>523</v>
      </c>
      <c r="G459" s="355"/>
      <c r="H459" s="323"/>
      <c r="I459" s="117"/>
      <c r="J459" s="323"/>
      <c r="K459" s="231"/>
    </row>
    <row r="460" spans="2:11" s="18" customFormat="1" x14ac:dyDescent="0.25">
      <c r="B460" s="382"/>
      <c r="C460" s="355"/>
      <c r="D460" s="355"/>
      <c r="E460" s="355"/>
      <c r="F460" s="287" t="s">
        <v>859</v>
      </c>
      <c r="G460" s="355"/>
      <c r="H460" s="323">
        <v>109</v>
      </c>
      <c r="I460" s="117"/>
      <c r="J460" s="323">
        <v>116</v>
      </c>
      <c r="K460" s="231"/>
    </row>
    <row r="461" spans="2:11" s="18" customFormat="1" x14ac:dyDescent="0.25">
      <c r="B461" s="382"/>
      <c r="C461" s="355"/>
      <c r="D461" s="355"/>
      <c r="E461" s="355"/>
      <c r="F461" s="287" t="s">
        <v>9</v>
      </c>
      <c r="G461" s="355"/>
      <c r="H461" s="323"/>
      <c r="I461" s="117"/>
      <c r="J461" s="323"/>
      <c r="K461" s="231"/>
    </row>
    <row r="462" spans="2:11" s="18" customFormat="1" x14ac:dyDescent="0.25">
      <c r="B462" s="382"/>
      <c r="C462" s="355"/>
      <c r="F462" s="355" t="s">
        <v>138</v>
      </c>
      <c r="H462" s="339">
        <f>SUM(H458:H461)</f>
        <v>244</v>
      </c>
      <c r="I462" s="162"/>
      <c r="J462" s="339">
        <f>SUM(J458:J461)</f>
        <v>116</v>
      </c>
      <c r="K462" s="231"/>
    </row>
    <row r="463" spans="2:11" s="18" customFormat="1" x14ac:dyDescent="0.25">
      <c r="B463" s="382"/>
      <c r="C463" s="355"/>
      <c r="F463" s="355"/>
      <c r="H463" s="306"/>
      <c r="I463" s="306"/>
      <c r="J463" s="306"/>
      <c r="K463" s="231"/>
    </row>
    <row r="464" spans="2:11" s="18" customFormat="1" x14ac:dyDescent="0.25">
      <c r="B464" s="382" t="s">
        <v>9</v>
      </c>
      <c r="C464" s="355"/>
      <c r="D464" s="355" t="s">
        <v>525</v>
      </c>
      <c r="E464" s="355"/>
      <c r="F464" s="355"/>
      <c r="G464" s="355"/>
      <c r="H464" s="306"/>
      <c r="I464" s="306"/>
      <c r="J464" s="306"/>
      <c r="K464" s="231"/>
    </row>
    <row r="465" spans="2:11" s="18" customFormat="1" x14ac:dyDescent="0.25">
      <c r="B465" s="382"/>
      <c r="C465" s="355"/>
      <c r="D465" s="355"/>
      <c r="E465" s="355"/>
      <c r="F465" s="355"/>
      <c r="G465" s="355"/>
      <c r="H465" s="306"/>
      <c r="I465" s="306"/>
      <c r="J465" s="306"/>
      <c r="K465" s="231"/>
    </row>
    <row r="466" spans="2:11" s="18" customFormat="1" ht="18.75" x14ac:dyDescent="0.25">
      <c r="B466" s="312" t="s">
        <v>526</v>
      </c>
      <c r="C466" s="366" t="s">
        <v>207</v>
      </c>
      <c r="D466" s="302" t="s">
        <v>527</v>
      </c>
      <c r="E466" s="302"/>
      <c r="F466" s="220"/>
      <c r="G466" s="387"/>
      <c r="H466" s="388"/>
      <c r="I466" s="388"/>
      <c r="J466" s="388"/>
      <c r="K466" s="379"/>
    </row>
    <row r="467" spans="2:11" s="18" customFormat="1" ht="18" x14ac:dyDescent="0.4">
      <c r="B467" s="326"/>
      <c r="C467" s="78"/>
      <c r="D467" s="215"/>
      <c r="E467" s="283"/>
      <c r="F467" s="283"/>
      <c r="G467" s="283"/>
      <c r="H467" s="117"/>
      <c r="I467" s="117"/>
      <c r="J467" s="117"/>
      <c r="K467" s="231"/>
    </row>
    <row r="468" spans="2:11" s="18" customFormat="1" x14ac:dyDescent="0.25">
      <c r="B468" s="322"/>
      <c r="H468" s="117"/>
      <c r="I468" s="117"/>
      <c r="J468" s="117"/>
      <c r="K468" s="231"/>
    </row>
    <row r="469" spans="2:11" s="18" customFormat="1" x14ac:dyDescent="0.25">
      <c r="B469" s="322"/>
      <c r="D469" s="285" t="s">
        <v>247</v>
      </c>
      <c r="H469" s="804" t="str">
        <f>IF(OR(LEN('פרטי התאגיד'!$G$13)&gt;4, LEN('פרטי התאגיד'!$G$11)&gt;4), "לתקופה", " לשנה שנסתיימה ביום 31 בדצמבר")</f>
        <v xml:space="preserve"> לשנה שנסתיימה ביום 31 בדצמבר</v>
      </c>
      <c r="I469" s="804"/>
      <c r="J469" s="804"/>
      <c r="K469" s="231"/>
    </row>
    <row r="470" spans="2:11" s="18" customFormat="1" x14ac:dyDescent="0.25">
      <c r="B470" s="322"/>
      <c r="E470" s="283"/>
      <c r="G470" s="286"/>
      <c r="H470" s="372">
        <f>IF('פרטי התאגיד'!$G$11="","",IF(LEN('פרטי התאגיד'!$G$11)&gt;4,MID('פרטי התאגיד'!$G$11,4,2)&amp;"-12/"&amp;MID('פרטי התאגיד'!$G$11,7,4),IF(LEN(J470)&gt;4,"1-12/"&amp;'פרטי התאגיד'!$G$11,'פרטי התאגיד'!$G$11)))</f>
        <v>2024</v>
      </c>
      <c r="I470" s="162"/>
      <c r="J470" s="372">
        <f>IF('פרטי התאגיד'!$G$13="","",IF(LEN('פרטי התאגיד'!$G$13)=4,'פרטי התאגיד'!$G$13,MID('פרטי התאגיד'!$G$13,4,2)&amp;"-12/"&amp;MID('פרטי התאגיד'!$G$13,7,4)))</f>
        <v>2023</v>
      </c>
      <c r="K470" s="231"/>
    </row>
    <row r="471" spans="2:11" s="18" customFormat="1" x14ac:dyDescent="0.25">
      <c r="B471" s="322"/>
      <c r="D471" s="808" t="s">
        <v>528</v>
      </c>
      <c r="E471" s="808"/>
      <c r="F471" s="808"/>
      <c r="G471" s="286"/>
      <c r="H471" s="323">
        <v>4997</v>
      </c>
      <c r="I471" s="373"/>
      <c r="J471" s="323">
        <v>4418</v>
      </c>
      <c r="K471" s="231"/>
    </row>
    <row r="472" spans="2:11" s="18" customFormat="1" x14ac:dyDescent="0.25">
      <c r="B472" s="322"/>
      <c r="D472" s="18" t="s">
        <v>529</v>
      </c>
      <c r="G472" s="286"/>
      <c r="H472" s="323"/>
      <c r="I472" s="373"/>
      <c r="J472" s="323"/>
      <c r="K472" s="231"/>
    </row>
    <row r="473" spans="2:11" s="18" customFormat="1" x14ac:dyDescent="0.25">
      <c r="B473" s="322"/>
      <c r="D473" s="18" t="s">
        <v>530</v>
      </c>
      <c r="G473" s="286"/>
      <c r="H473" s="323"/>
      <c r="I473" s="373"/>
      <c r="J473" s="323"/>
      <c r="K473" s="231"/>
    </row>
    <row r="474" spans="2:11" s="18" customFormat="1" x14ac:dyDescent="0.25">
      <c r="B474" s="322"/>
      <c r="D474" s="18" t="s">
        <v>531</v>
      </c>
      <c r="G474" s="286"/>
      <c r="H474" s="323"/>
      <c r="I474" s="373"/>
      <c r="J474" s="323"/>
      <c r="K474" s="231"/>
    </row>
    <row r="475" spans="2:11" s="18" customFormat="1" x14ac:dyDescent="0.25">
      <c r="B475" s="322"/>
      <c r="D475" s="18" t="s">
        <v>532</v>
      </c>
      <c r="G475" s="286"/>
      <c r="H475" s="323"/>
      <c r="I475" s="373"/>
      <c r="J475" s="323"/>
      <c r="K475" s="231"/>
    </row>
    <row r="476" spans="2:11" s="18" customFormat="1" x14ac:dyDescent="0.25">
      <c r="B476" s="322"/>
      <c r="D476" s="18" t="s">
        <v>533</v>
      </c>
      <c r="G476" s="286"/>
      <c r="H476" s="323">
        <v>-2298</v>
      </c>
      <c r="I476" s="373"/>
      <c r="J476" s="323">
        <v>-1829</v>
      </c>
      <c r="K476" s="231"/>
    </row>
    <row r="477" spans="2:11" s="18" customFormat="1" x14ac:dyDescent="0.25">
      <c r="B477" s="322"/>
      <c r="D477" s="18" t="s">
        <v>534</v>
      </c>
      <c r="G477" s="286"/>
      <c r="H477" s="323">
        <v>646</v>
      </c>
      <c r="I477" s="373"/>
      <c r="J477" s="323">
        <v>644</v>
      </c>
      <c r="K477" s="231"/>
    </row>
    <row r="478" spans="2:11" s="18" customFormat="1" x14ac:dyDescent="0.25">
      <c r="B478" s="322"/>
      <c r="D478" s="18" t="s">
        <v>535</v>
      </c>
      <c r="G478" s="286"/>
      <c r="H478" s="323">
        <v>257</v>
      </c>
      <c r="I478" s="373"/>
      <c r="J478" s="323">
        <f>213+1</f>
        <v>214</v>
      </c>
      <c r="K478" s="231"/>
    </row>
    <row r="479" spans="2:11" s="18" customFormat="1" x14ac:dyDescent="0.25">
      <c r="B479" s="322"/>
      <c r="D479" s="18" t="s">
        <v>536</v>
      </c>
      <c r="G479" s="286"/>
      <c r="H479" s="323">
        <v>105</v>
      </c>
      <c r="I479" s="373"/>
      <c r="J479" s="323">
        <v>99</v>
      </c>
      <c r="K479" s="231"/>
    </row>
    <row r="480" spans="2:11" s="18" customFormat="1" x14ac:dyDescent="0.25">
      <c r="B480" s="322"/>
      <c r="D480" s="18" t="s">
        <v>537</v>
      </c>
      <c r="G480" s="286"/>
      <c r="H480" s="323">
        <v>3080</v>
      </c>
      <c r="I480" s="373"/>
      <c r="J480" s="323">
        <v>1082</v>
      </c>
      <c r="K480" s="231"/>
    </row>
    <row r="481" spans="2:11" s="18" customFormat="1" x14ac:dyDescent="0.25">
      <c r="B481" s="322"/>
      <c r="D481" s="18" t="s">
        <v>538</v>
      </c>
      <c r="G481" s="358"/>
      <c r="H481" s="323"/>
      <c r="I481" s="117"/>
      <c r="J481" s="323"/>
      <c r="K481" s="231"/>
    </row>
    <row r="482" spans="2:11" s="18" customFormat="1" x14ac:dyDescent="0.25">
      <c r="B482" s="322"/>
      <c r="D482" s="18" t="s">
        <v>539</v>
      </c>
      <c r="G482" s="358"/>
      <c r="H482" s="323"/>
      <c r="I482" s="117"/>
      <c r="J482" s="323"/>
      <c r="K482" s="231"/>
    </row>
    <row r="483" spans="2:11" s="18" customFormat="1" x14ac:dyDescent="0.25">
      <c r="B483" s="322"/>
      <c r="D483" s="18" t="s">
        <v>540</v>
      </c>
      <c r="H483" s="323">
        <v>285</v>
      </c>
      <c r="I483" s="117"/>
      <c r="J483" s="323">
        <f>260-28</f>
        <v>232</v>
      </c>
      <c r="K483" s="231"/>
    </row>
    <row r="484" spans="2:11" s="18" customFormat="1" x14ac:dyDescent="0.25">
      <c r="B484" s="322"/>
      <c r="D484" s="18" t="s">
        <v>541</v>
      </c>
      <c r="H484" s="323"/>
      <c r="I484" s="117"/>
      <c r="J484" s="323"/>
      <c r="K484" s="231"/>
    </row>
    <row r="485" spans="2:11" s="18" customFormat="1" x14ac:dyDescent="0.25">
      <c r="B485" s="322"/>
      <c r="D485" s="287" t="s">
        <v>507</v>
      </c>
      <c r="G485" s="358"/>
      <c r="H485" s="323"/>
      <c r="I485" s="117"/>
      <c r="J485" s="323"/>
      <c r="K485" s="231"/>
    </row>
    <row r="486" spans="2:11" s="18" customFormat="1" x14ac:dyDescent="0.25">
      <c r="B486" s="322"/>
      <c r="D486" s="287" t="s">
        <v>9</v>
      </c>
      <c r="H486" s="323"/>
      <c r="I486" s="117"/>
      <c r="J486" s="323"/>
      <c r="K486" s="231"/>
    </row>
    <row r="487" spans="2:11" s="18" customFormat="1" x14ac:dyDescent="0.25">
      <c r="B487" s="322"/>
      <c r="H487" s="339">
        <f>SUM(H471:H486)</f>
        <v>7072</v>
      </c>
      <c r="I487" s="162"/>
      <c r="J487" s="339">
        <f>SUM(J471:J486)</f>
        <v>4860</v>
      </c>
      <c r="K487" s="231"/>
    </row>
    <row r="488" spans="2:11" s="18" customFormat="1" x14ac:dyDescent="0.25">
      <c r="B488" s="322"/>
      <c r="H488" s="117"/>
      <c r="I488" s="117"/>
      <c r="J488" s="117"/>
      <c r="K488" s="231"/>
    </row>
    <row r="489" spans="2:11" s="18" customFormat="1" ht="18.75" x14ac:dyDescent="0.25">
      <c r="B489" s="312" t="s">
        <v>542</v>
      </c>
      <c r="C489" s="366" t="s">
        <v>207</v>
      </c>
      <c r="D489" s="302" t="s">
        <v>124</v>
      </c>
      <c r="E489" s="302"/>
      <c r="F489" s="220"/>
      <c r="G489" s="387"/>
      <c r="H489" s="388"/>
      <c r="I489" s="388"/>
      <c r="J489" s="388"/>
      <c r="K489" s="379"/>
    </row>
    <row r="490" spans="2:11" s="18" customFormat="1" x14ac:dyDescent="0.25">
      <c r="B490" s="229"/>
      <c r="H490" s="117"/>
      <c r="I490" s="117"/>
      <c r="J490" s="117"/>
      <c r="K490" s="231"/>
    </row>
    <row r="491" spans="2:11" s="18" customFormat="1" ht="18" x14ac:dyDescent="0.4">
      <c r="B491" s="326"/>
      <c r="C491" s="82"/>
      <c r="D491" s="285" t="s">
        <v>247</v>
      </c>
      <c r="H491" s="804" t="str">
        <f>IF(OR(LEN('פרטי התאגיד'!$G$13)&gt;4, LEN('פרטי התאגיד'!$G$11)&gt;4), "לתקופה", " לשנה שנסתיימה ביום 31 בדצמבר")</f>
        <v xml:space="preserve"> לשנה שנסתיימה ביום 31 בדצמבר</v>
      </c>
      <c r="I491" s="804"/>
      <c r="J491" s="804"/>
      <c r="K491" s="379"/>
    </row>
    <row r="492" spans="2:11" s="18" customFormat="1" x14ac:dyDescent="0.25">
      <c r="B492" s="322"/>
      <c r="H492" s="372">
        <f>IF('פרטי התאגיד'!$G$11="","",IF(LEN('פרטי התאגיד'!$G$11)&gt;4,MID('פרטי התאגיד'!$G$11,4,2)&amp;"-12/"&amp;MID('פרטי התאגיד'!$G$11,7,4),IF(LEN(J492)&gt;4,"1-12/"&amp;'פרטי התאגיד'!$G$11,'פרטי התאגיד'!$G$11)))</f>
        <v>2024</v>
      </c>
      <c r="I492" s="162"/>
      <c r="J492" s="372">
        <f>IF('פרטי התאגיד'!$G$13="","",IF(LEN('פרטי התאגיד'!$G$13)=4,'פרטי התאגיד'!$G$13,MID('פרטי התאגיד'!$G$13,4,2)&amp;"-12/"&amp;MID('פרטי התאגיד'!$G$13,7,4)))</f>
        <v>2023</v>
      </c>
      <c r="K492" s="380"/>
    </row>
    <row r="493" spans="2:11" s="18" customFormat="1" x14ac:dyDescent="0.25">
      <c r="B493" s="322"/>
      <c r="D493" s="18" t="s">
        <v>473</v>
      </c>
      <c r="H493" s="323">
        <v>1618</v>
      </c>
      <c r="I493" s="117"/>
      <c r="J493" s="323">
        <v>1472</v>
      </c>
      <c r="K493" s="231"/>
    </row>
    <row r="494" spans="2:11" s="18" customFormat="1" x14ac:dyDescent="0.25">
      <c r="B494" s="322"/>
      <c r="D494" s="18" t="s">
        <v>543</v>
      </c>
      <c r="H494" s="323">
        <v>574</v>
      </c>
      <c r="I494" s="117"/>
      <c r="J494" s="323">
        <f>422+3</f>
        <v>425</v>
      </c>
      <c r="K494" s="231"/>
    </row>
    <row r="495" spans="2:11" s="18" customFormat="1" x14ac:dyDescent="0.25">
      <c r="B495" s="322"/>
      <c r="D495" s="18" t="s">
        <v>544</v>
      </c>
      <c r="H495" s="323">
        <v>61</v>
      </c>
      <c r="I495" s="117"/>
      <c r="J495" s="323">
        <v>61</v>
      </c>
      <c r="K495" s="231"/>
    </row>
    <row r="496" spans="2:11" s="18" customFormat="1" x14ac:dyDescent="0.25">
      <c r="B496" s="322"/>
      <c r="D496" s="18" t="s">
        <v>479</v>
      </c>
      <c r="H496" s="323">
        <v>151</v>
      </c>
      <c r="I496" s="117"/>
      <c r="J496" s="323">
        <f>968-(411+411)</f>
        <v>146</v>
      </c>
      <c r="K496" s="231"/>
    </row>
    <row r="497" spans="2:11" s="18" customFormat="1" x14ac:dyDescent="0.25">
      <c r="B497" s="322"/>
      <c r="D497" s="18" t="s">
        <v>545</v>
      </c>
      <c r="H497" s="323">
        <v>266</v>
      </c>
      <c r="I497" s="117"/>
      <c r="J497" s="323">
        <v>256</v>
      </c>
      <c r="K497" s="231"/>
    </row>
    <row r="498" spans="2:11" s="18" customFormat="1" x14ac:dyDescent="0.25">
      <c r="B498" s="322"/>
      <c r="D498" s="18" t="s">
        <v>546</v>
      </c>
      <c r="H498" s="323">
        <v>95</v>
      </c>
      <c r="I498" s="117"/>
      <c r="J498" s="323">
        <v>55</v>
      </c>
      <c r="K498" s="231"/>
    </row>
    <row r="499" spans="2:11" s="18" customFormat="1" x14ac:dyDescent="0.25">
      <c r="B499" s="322"/>
      <c r="D499" s="18" t="s">
        <v>481</v>
      </c>
      <c r="H499" s="323">
        <v>74</v>
      </c>
      <c r="I499" s="117"/>
      <c r="J499" s="323">
        <v>80</v>
      </c>
      <c r="K499" s="231"/>
    </row>
    <row r="500" spans="2:11" s="18" customFormat="1" x14ac:dyDescent="0.25">
      <c r="B500" s="322"/>
      <c r="D500" s="18" t="s">
        <v>547</v>
      </c>
      <c r="H500" s="323">
        <v>72</v>
      </c>
      <c r="I500" s="117"/>
      <c r="J500" s="323">
        <v>28</v>
      </c>
      <c r="K500" s="231"/>
    </row>
    <row r="501" spans="2:11" s="18" customFormat="1" x14ac:dyDescent="0.25">
      <c r="B501" s="322"/>
      <c r="D501" s="18" t="s">
        <v>482</v>
      </c>
      <c r="H501" s="323">
        <f>1823-445+42</f>
        <v>1420</v>
      </c>
      <c r="I501" s="117"/>
      <c r="J501" s="323">
        <f>1747-379</f>
        <v>1368</v>
      </c>
      <c r="K501" s="231"/>
    </row>
    <row r="502" spans="2:11" s="18" customFormat="1" x14ac:dyDescent="0.25">
      <c r="B502" s="322"/>
      <c r="D502" s="18" t="s">
        <v>548</v>
      </c>
      <c r="H502" s="323">
        <f>163+240+42</f>
        <v>445</v>
      </c>
      <c r="I502" s="117"/>
      <c r="J502" s="323">
        <f>240+139</f>
        <v>379</v>
      </c>
      <c r="K502" s="231"/>
    </row>
    <row r="503" spans="2:11" s="18" customFormat="1" x14ac:dyDescent="0.25">
      <c r="B503" s="322"/>
      <c r="D503" s="18" t="s">
        <v>549</v>
      </c>
      <c r="H503" s="323"/>
      <c r="I503" s="117"/>
      <c r="J503" s="323"/>
      <c r="K503" s="231"/>
    </row>
    <row r="504" spans="2:11" s="18" customFormat="1" x14ac:dyDescent="0.25">
      <c r="B504" s="322"/>
      <c r="D504" s="18" t="s">
        <v>550</v>
      </c>
      <c r="H504" s="323">
        <v>-42</v>
      </c>
      <c r="I504" s="117"/>
      <c r="J504" s="323">
        <f>-493+129</f>
        <v>-364</v>
      </c>
      <c r="K504" s="231"/>
    </row>
    <row r="505" spans="2:11" s="18" customFormat="1" x14ac:dyDescent="0.25">
      <c r="B505" s="322"/>
      <c r="D505" s="18" t="s">
        <v>551</v>
      </c>
      <c r="H505" s="323">
        <f>132+1</f>
        <v>133</v>
      </c>
      <c r="I505" s="117"/>
      <c r="J505" s="323">
        <v>126</v>
      </c>
      <c r="K505" s="231"/>
    </row>
    <row r="506" spans="2:11" s="18" customFormat="1" x14ac:dyDescent="0.25">
      <c r="B506" s="322"/>
      <c r="D506" s="18" t="s">
        <v>552</v>
      </c>
      <c r="H506" s="323"/>
      <c r="I506" s="117"/>
      <c r="J506" s="323"/>
      <c r="K506" s="231"/>
    </row>
    <row r="507" spans="2:11" s="18" customFormat="1" x14ac:dyDescent="0.25">
      <c r="B507" s="322"/>
      <c r="D507" s="18" t="s">
        <v>553</v>
      </c>
      <c r="H507" s="323">
        <v>66</v>
      </c>
      <c r="I507" s="117"/>
      <c r="J507" s="323">
        <v>69</v>
      </c>
      <c r="K507" s="231"/>
    </row>
    <row r="508" spans="2:11" s="18" customFormat="1" x14ac:dyDescent="0.25">
      <c r="B508" s="322"/>
      <c r="D508" s="287" t="s">
        <v>860</v>
      </c>
      <c r="H508" s="323">
        <v>58</v>
      </c>
      <c r="I508" s="117"/>
      <c r="J508" s="323">
        <v>43</v>
      </c>
      <c r="K508" s="231"/>
    </row>
    <row r="509" spans="2:11" s="18" customFormat="1" x14ac:dyDescent="0.25">
      <c r="B509" s="322"/>
      <c r="H509" s="339">
        <f>SUM(H493:H508)</f>
        <v>4991</v>
      </c>
      <c r="I509" s="162"/>
      <c r="J509" s="339">
        <f>SUM(J493:J508)</f>
        <v>4144</v>
      </c>
      <c r="K509" s="231"/>
    </row>
    <row r="510" spans="2:11" s="18" customFormat="1" x14ac:dyDescent="0.25">
      <c r="B510" s="322"/>
      <c r="D510" s="288" t="s">
        <v>554</v>
      </c>
      <c r="E510" s="18" t="s">
        <v>555</v>
      </c>
      <c r="H510" s="117"/>
      <c r="I510" s="117"/>
      <c r="J510" s="117"/>
      <c r="K510" s="231"/>
    </row>
    <row r="511" spans="2:11" s="18" customFormat="1" x14ac:dyDescent="0.25">
      <c r="B511" s="322"/>
      <c r="D511" s="288"/>
      <c r="H511" s="117"/>
      <c r="I511" s="117"/>
      <c r="J511" s="117"/>
      <c r="K511" s="231"/>
    </row>
    <row r="512" spans="2:11" s="18" customFormat="1" x14ac:dyDescent="0.25">
      <c r="B512" s="322"/>
      <c r="H512" s="117"/>
      <c r="I512" s="117"/>
      <c r="J512" s="117"/>
      <c r="K512" s="231"/>
    </row>
    <row r="513" spans="2:11" s="18" customFormat="1" ht="18.75" x14ac:dyDescent="0.25">
      <c r="B513" s="312" t="s">
        <v>556</v>
      </c>
      <c r="C513" s="366" t="s">
        <v>207</v>
      </c>
      <c r="D513" s="302" t="s">
        <v>557</v>
      </c>
      <c r="E513" s="302"/>
      <c r="F513" s="220"/>
      <c r="G513" s="387"/>
      <c r="H513" s="388"/>
      <c r="I513" s="388"/>
      <c r="J513" s="388"/>
      <c r="K513" s="379"/>
    </row>
    <row r="514" spans="2:11" s="18" customFormat="1" x14ac:dyDescent="0.25">
      <c r="B514" s="322"/>
      <c r="H514" s="117"/>
      <c r="I514" s="117"/>
      <c r="J514" s="117"/>
      <c r="K514" s="231"/>
    </row>
    <row r="515" spans="2:11" s="18" customFormat="1" x14ac:dyDescent="0.25">
      <c r="B515" s="322"/>
      <c r="D515" s="285" t="s">
        <v>247</v>
      </c>
      <c r="H515" s="804" t="str">
        <f>IF(OR(LEN('פרטי התאגיד'!$G$13)&gt;4, LEN('פרטי התאגיד'!$G$11)&gt;4), "לתקופה", " לשנה שנסתיימה ביום 31 בדצמבר")</f>
        <v xml:space="preserve"> לשנה שנסתיימה ביום 31 בדצמבר</v>
      </c>
      <c r="I515" s="804"/>
      <c r="J515" s="804"/>
      <c r="K515" s="379"/>
    </row>
    <row r="516" spans="2:11" s="18" customFormat="1" x14ac:dyDescent="0.25">
      <c r="B516" s="322"/>
      <c r="D516" s="283"/>
      <c r="E516" s="283"/>
      <c r="H516" s="372">
        <f>IF('פרטי התאגיד'!$G$11="","",IF(LEN('פרטי התאגיד'!$G$11)&gt;4,MID('פרטי התאגיד'!$G$11,4,2)&amp;"-12/"&amp;MID('פרטי התאגיד'!$G$11,7,4),IF(LEN(J516)&gt;4,"1-12/"&amp;'פרטי התאגיד'!$G$11,'פרטי התאגיד'!$G$11)))</f>
        <v>2024</v>
      </c>
      <c r="I516" s="162"/>
      <c r="J516" s="372">
        <f>IF('פרטי התאגיד'!$G$13="","",IF(LEN('פרטי התאגיד'!$G$13)=4,'פרטי התאגיד'!$G$13,MID('פרטי התאגיד'!$G$13,4,2)&amp;"-12/"&amp;MID('פרטי התאגיד'!$G$13,7,4)))</f>
        <v>2023</v>
      </c>
      <c r="K516" s="380"/>
    </row>
    <row r="517" spans="2:11" s="18" customFormat="1" x14ac:dyDescent="0.25">
      <c r="B517" s="322"/>
      <c r="D517" s="283" t="s">
        <v>466</v>
      </c>
      <c r="E517" s="283"/>
      <c r="H517" s="117"/>
      <c r="I517" s="372"/>
      <c r="J517" s="117"/>
      <c r="K517" s="380"/>
    </row>
    <row r="518" spans="2:11" s="18" customFormat="1" x14ac:dyDescent="0.25">
      <c r="B518" s="322"/>
      <c r="D518" s="18" t="s">
        <v>558</v>
      </c>
      <c r="H518" s="323">
        <v>1339</v>
      </c>
      <c r="I518" s="117"/>
      <c r="J518" s="323">
        <v>939</v>
      </c>
      <c r="K518" s="231"/>
    </row>
    <row r="519" spans="2:11" s="18" customFormat="1" x14ac:dyDescent="0.25">
      <c r="B519" s="322"/>
      <c r="D519" s="287" t="s">
        <v>559</v>
      </c>
      <c r="H519" s="323">
        <v>3353</v>
      </c>
      <c r="I519" s="117"/>
      <c r="J519" s="323">
        <v>2387</v>
      </c>
      <c r="K519" s="231"/>
    </row>
    <row r="520" spans="2:11" s="18" customFormat="1" x14ac:dyDescent="0.25">
      <c r="B520" s="322"/>
      <c r="D520" s="287" t="s">
        <v>560</v>
      </c>
      <c r="H520" s="323"/>
      <c r="I520" s="117"/>
      <c r="J520" s="323"/>
      <c r="K520" s="231"/>
    </row>
    <row r="521" spans="2:11" s="18" customFormat="1" x14ac:dyDescent="0.25">
      <c r="B521" s="322"/>
      <c r="D521" s="287" t="s">
        <v>861</v>
      </c>
      <c r="H521" s="323"/>
      <c r="I521" s="117"/>
      <c r="J521" s="323">
        <v>72</v>
      </c>
      <c r="K521" s="231"/>
    </row>
    <row r="522" spans="2:11" s="18" customFormat="1" x14ac:dyDescent="0.25">
      <c r="B522" s="322"/>
      <c r="H522" s="339">
        <f>SUM(H518:H521)</f>
        <v>4692</v>
      </c>
      <c r="I522" s="162"/>
      <c r="J522" s="339">
        <f>SUM(J518:J521)</f>
        <v>3398</v>
      </c>
      <c r="K522" s="231"/>
    </row>
    <row r="523" spans="2:11" s="18" customFormat="1" x14ac:dyDescent="0.25">
      <c r="B523" s="322"/>
      <c r="D523" s="283" t="s">
        <v>561</v>
      </c>
      <c r="E523" s="283"/>
      <c r="H523" s="117"/>
      <c r="I523" s="117"/>
      <c r="J523" s="117"/>
      <c r="K523" s="231"/>
    </row>
    <row r="524" spans="2:11" s="18" customFormat="1" x14ac:dyDescent="0.25">
      <c r="B524" s="322"/>
      <c r="D524" s="18" t="s">
        <v>562</v>
      </c>
      <c r="I524" s="117"/>
      <c r="K524" s="231"/>
    </row>
    <row r="525" spans="2:11" s="18" customFormat="1" x14ac:dyDescent="0.25">
      <c r="B525" s="322"/>
      <c r="E525" s="18" t="s">
        <v>563</v>
      </c>
      <c r="H525" s="323"/>
      <c r="I525" s="117"/>
      <c r="J525" s="323">
        <v>7</v>
      </c>
      <c r="K525" s="231"/>
    </row>
    <row r="526" spans="2:11" s="18" customFormat="1" x14ac:dyDescent="0.25">
      <c r="B526" s="322"/>
      <c r="E526" s="18" t="s">
        <v>564</v>
      </c>
      <c r="H526" s="323">
        <v>243</v>
      </c>
      <c r="I526" s="117"/>
      <c r="J526" s="323">
        <v>593</v>
      </c>
      <c r="K526" s="231"/>
    </row>
    <row r="527" spans="2:11" s="18" customFormat="1" x14ac:dyDescent="0.25">
      <c r="B527" s="322"/>
      <c r="E527" s="287" t="s">
        <v>9</v>
      </c>
      <c r="H527" s="323"/>
      <c r="I527" s="117"/>
      <c r="J527" s="323"/>
      <c r="K527" s="231"/>
    </row>
    <row r="528" spans="2:11" s="18" customFormat="1" x14ac:dyDescent="0.25">
      <c r="B528" s="322"/>
      <c r="D528" s="18" t="s">
        <v>565</v>
      </c>
      <c r="H528" s="323"/>
      <c r="I528" s="117"/>
      <c r="J528" s="323"/>
      <c r="K528" s="231"/>
    </row>
    <row r="529" spans="2:11" s="18" customFormat="1" x14ac:dyDescent="0.25">
      <c r="B529" s="322"/>
      <c r="D529" s="18" t="s">
        <v>566</v>
      </c>
      <c r="H529" s="323"/>
      <c r="I529" s="117"/>
      <c r="J529" s="323"/>
      <c r="K529" s="231"/>
    </row>
    <row r="530" spans="2:11" s="18" customFormat="1" x14ac:dyDescent="0.25">
      <c r="B530" s="322"/>
      <c r="D530" s="18" t="s">
        <v>567</v>
      </c>
      <c r="H530" s="323">
        <v>156</v>
      </c>
      <c r="I530" s="117"/>
      <c r="J530" s="323">
        <v>127</v>
      </c>
      <c r="K530" s="231"/>
    </row>
    <row r="531" spans="2:11" s="18" customFormat="1" x14ac:dyDescent="0.25">
      <c r="B531" s="322"/>
      <c r="D531" s="18" t="s">
        <v>568</v>
      </c>
      <c r="H531" s="323"/>
      <c r="I531" s="117"/>
      <c r="J531" s="323"/>
      <c r="K531" s="231"/>
    </row>
    <row r="532" spans="2:11" s="18" customFormat="1" x14ac:dyDescent="0.25">
      <c r="B532" s="322"/>
      <c r="D532" s="287" t="s">
        <v>869</v>
      </c>
      <c r="H532" s="323">
        <v>5</v>
      </c>
      <c r="I532" s="117"/>
      <c r="J532" s="323"/>
      <c r="K532" s="231"/>
    </row>
    <row r="533" spans="2:11" s="18" customFormat="1" x14ac:dyDescent="0.25">
      <c r="B533" s="322"/>
      <c r="H533" s="339">
        <f>SUM(H524:H532)</f>
        <v>404</v>
      </c>
      <c r="I533" s="162"/>
      <c r="J533" s="339">
        <f>SUM(J524:J532)</f>
        <v>727</v>
      </c>
      <c r="K533" s="231"/>
    </row>
    <row r="534" spans="2:11" s="18" customFormat="1" x14ac:dyDescent="0.25">
      <c r="B534" s="322"/>
      <c r="H534" s="117"/>
      <c r="I534" s="117"/>
      <c r="J534" s="117"/>
      <c r="K534" s="231"/>
    </row>
    <row r="535" spans="2:11" s="18" customFormat="1" x14ac:dyDescent="0.25">
      <c r="B535" s="322"/>
      <c r="H535" s="339">
        <f>H522-H533</f>
        <v>4288</v>
      </c>
      <c r="I535" s="162"/>
      <c r="J535" s="339">
        <f>J522-J533</f>
        <v>2671</v>
      </c>
      <c r="K535" s="231"/>
    </row>
    <row r="536" spans="2:11" s="18" customFormat="1" x14ac:dyDescent="0.25">
      <c r="B536" s="322"/>
      <c r="H536" s="117"/>
      <c r="I536" s="117"/>
      <c r="J536" s="117"/>
      <c r="K536" s="231"/>
    </row>
    <row r="537" spans="2:11" s="18" customFormat="1" x14ac:dyDescent="0.25">
      <c r="B537" s="322"/>
      <c r="H537" s="117"/>
      <c r="I537" s="117"/>
      <c r="J537" s="117"/>
      <c r="K537" s="231"/>
    </row>
    <row r="538" spans="2:11" s="18" customFormat="1" ht="18.75" x14ac:dyDescent="0.25">
      <c r="B538" s="312" t="s">
        <v>569</v>
      </c>
      <c r="C538" s="366" t="s">
        <v>207</v>
      </c>
      <c r="D538" s="302" t="s">
        <v>570</v>
      </c>
      <c r="E538" s="302"/>
      <c r="F538" s="220"/>
      <c r="G538" s="387"/>
      <c r="H538" s="388"/>
      <c r="I538" s="388"/>
      <c r="J538" s="388"/>
      <c r="K538" s="379"/>
    </row>
    <row r="539" spans="2:11" s="18" customFormat="1" x14ac:dyDescent="0.25">
      <c r="B539" s="322"/>
      <c r="H539" s="117"/>
      <c r="I539" s="117"/>
      <c r="J539" s="117"/>
      <c r="K539" s="231"/>
    </row>
    <row r="540" spans="2:11" s="18" customFormat="1" x14ac:dyDescent="0.25">
      <c r="B540" s="322"/>
      <c r="D540" s="285" t="s">
        <v>247</v>
      </c>
      <c r="H540" s="804" t="str">
        <f>IF(OR(LEN('פרטי התאגיד'!$G$13)&gt;4, LEN('פרטי התאגיד'!$G$11)&gt;4), "לתקופה", " לשנה שנסתיימה ביום 31 בדצמבר")</f>
        <v xml:space="preserve"> לשנה שנסתיימה ביום 31 בדצמבר</v>
      </c>
      <c r="I540" s="804"/>
      <c r="J540" s="804"/>
      <c r="K540" s="379"/>
    </row>
    <row r="541" spans="2:11" s="18" customFormat="1" x14ac:dyDescent="0.25">
      <c r="B541" s="322"/>
      <c r="E541" s="283"/>
      <c r="H541" s="372">
        <f>IF('פרטי התאגיד'!$G$11="","",IF(LEN('פרטי התאגיד'!$G$11)&gt;4,MID('פרטי התאגיד'!$G$11,4,2)&amp;"-12/"&amp;MID('פרטי התאגיד'!$G$11,7,4),IF(LEN(J541)&gt;4,"1-12/"&amp;'פרטי התאגיד'!$G$11,'פרטי התאגיד'!$G$11)))</f>
        <v>2024</v>
      </c>
      <c r="I541" s="162"/>
      <c r="J541" s="372">
        <f>IF('פרטי התאגיד'!$G$13="","",IF(LEN('פרטי התאגיד'!$G$13)=4,'פרטי התאגיד'!$G$13,MID('פרטי התאגיד'!$G$13,4,2)&amp;"-12/"&amp;MID('פרטי התאגיד'!$G$13,7,4)))</f>
        <v>2023</v>
      </c>
      <c r="K541" s="380"/>
    </row>
    <row r="542" spans="2:11" s="18" customFormat="1" x14ac:dyDescent="0.25">
      <c r="B542" s="322"/>
      <c r="D542" s="18" t="s">
        <v>571</v>
      </c>
      <c r="H542" s="323">
        <v>1680</v>
      </c>
      <c r="I542" s="117"/>
      <c r="J542" s="323">
        <f>1723+200+14</f>
        <v>1937</v>
      </c>
      <c r="K542" s="231"/>
    </row>
    <row r="543" spans="2:11" s="18" customFormat="1" x14ac:dyDescent="0.25">
      <c r="B543" s="322"/>
      <c r="D543" s="18" t="s">
        <v>572</v>
      </c>
      <c r="H543" s="323">
        <f>3915-1543</f>
        <v>2372</v>
      </c>
      <c r="I543" s="117"/>
      <c r="J543" s="323">
        <v>1782</v>
      </c>
      <c r="K543" s="231"/>
    </row>
    <row r="544" spans="2:11" s="18" customFormat="1" x14ac:dyDescent="0.25">
      <c r="B544" s="322"/>
      <c r="D544" s="18" t="s">
        <v>573</v>
      </c>
      <c r="H544" s="323"/>
      <c r="I544" s="117"/>
      <c r="J544" s="323"/>
      <c r="K544" s="231"/>
    </row>
    <row r="545" spans="2:11" s="18" customFormat="1" x14ac:dyDescent="0.25">
      <c r="B545" s="322"/>
      <c r="D545" s="18" t="s">
        <v>574</v>
      </c>
      <c r="H545" s="323"/>
      <c r="I545" s="117"/>
      <c r="J545" s="323">
        <v>4004</v>
      </c>
      <c r="K545" s="231"/>
    </row>
    <row r="546" spans="2:11" s="18" customFormat="1" x14ac:dyDescent="0.25">
      <c r="B546" s="322"/>
      <c r="D546" s="18" t="s">
        <v>575</v>
      </c>
      <c r="H546" s="323"/>
      <c r="I546" s="117"/>
      <c r="J546" s="323">
        <v>3828</v>
      </c>
      <c r="K546" s="231"/>
    </row>
    <row r="547" spans="2:11" s="18" customFormat="1" x14ac:dyDescent="0.25">
      <c r="B547" s="322"/>
      <c r="D547" s="18" t="s">
        <v>576</v>
      </c>
      <c r="H547" s="323">
        <f>1749-3800</f>
        <v>-2051</v>
      </c>
      <c r="I547" s="117"/>
      <c r="J547" s="323">
        <v>1240</v>
      </c>
      <c r="K547" s="231"/>
    </row>
    <row r="548" spans="2:11" s="18" customFormat="1" x14ac:dyDescent="0.25">
      <c r="B548" s="322"/>
      <c r="D548" s="18" t="s">
        <v>577</v>
      </c>
      <c r="H548" s="323"/>
      <c r="I548" s="117"/>
      <c r="J548" s="323"/>
      <c r="K548" s="231"/>
    </row>
    <row r="549" spans="2:11" s="18" customFormat="1" x14ac:dyDescent="0.25">
      <c r="B549" s="322"/>
      <c r="D549" s="18" t="s">
        <v>578</v>
      </c>
      <c r="H549" s="323"/>
      <c r="I549" s="117"/>
      <c r="J549" s="323"/>
      <c r="K549" s="231"/>
    </row>
    <row r="550" spans="2:11" s="18" customFormat="1" x14ac:dyDescent="0.25">
      <c r="B550" s="322"/>
      <c r="D550" s="287" t="s">
        <v>862</v>
      </c>
      <c r="H550" s="323"/>
      <c r="I550" s="117"/>
      <c r="J550" s="323">
        <v>-784</v>
      </c>
      <c r="K550" s="231"/>
    </row>
    <row r="551" spans="2:11" s="18" customFormat="1" x14ac:dyDescent="0.25">
      <c r="B551" s="322"/>
      <c r="H551" s="339">
        <f>SUM(H542:H550)</f>
        <v>2001</v>
      </c>
      <c r="I551" s="162"/>
      <c r="J551" s="339">
        <f>SUM(J542:J550)</f>
        <v>12007</v>
      </c>
      <c r="K551" s="231"/>
    </row>
    <row r="552" spans="2:11" s="18" customFormat="1" x14ac:dyDescent="0.25">
      <c r="B552" s="229"/>
      <c r="D552" s="288" t="s">
        <v>579</v>
      </c>
      <c r="E552" s="18" t="s">
        <v>580</v>
      </c>
      <c r="H552" s="117"/>
      <c r="I552" s="117"/>
      <c r="J552" s="117"/>
      <c r="K552" s="231"/>
    </row>
    <row r="553" spans="2:11" s="18" customFormat="1" x14ac:dyDescent="0.25">
      <c r="B553" s="229"/>
      <c r="H553" s="117"/>
      <c r="I553" s="117"/>
      <c r="J553" s="117"/>
      <c r="K553" s="231"/>
    </row>
    <row r="554" spans="2:11" s="18" customFormat="1" ht="18.75" x14ac:dyDescent="0.25">
      <c r="B554" s="312" t="s">
        <v>581</v>
      </c>
      <c r="C554" s="366" t="s">
        <v>207</v>
      </c>
      <c r="D554" s="302" t="s">
        <v>582</v>
      </c>
      <c r="E554" s="302"/>
      <c r="F554" s="220"/>
      <c r="G554" s="387"/>
      <c r="H554" s="388"/>
      <c r="I554" s="388"/>
      <c r="J554" s="388"/>
      <c r="K554" s="379"/>
    </row>
    <row r="555" spans="2:11" s="18" customFormat="1" ht="18" x14ac:dyDescent="0.4">
      <c r="B555" s="326"/>
      <c r="C555" s="82"/>
      <c r="D555" s="239"/>
      <c r="E555" s="283"/>
      <c r="F555" s="283"/>
      <c r="G555" s="283"/>
      <c r="H555" s="162"/>
      <c r="I555" s="162"/>
      <c r="J555" s="117"/>
      <c r="K555" s="231"/>
    </row>
    <row r="556" spans="2:11" s="18" customFormat="1" ht="18" x14ac:dyDescent="0.4">
      <c r="B556" s="326"/>
      <c r="C556" s="82"/>
      <c r="D556" s="805" t="s">
        <v>887</v>
      </c>
      <c r="E556" s="806"/>
      <c r="F556" s="806"/>
      <c r="G556" s="806"/>
      <c r="H556" s="806"/>
      <c r="I556" s="806"/>
      <c r="J556" s="807"/>
      <c r="K556" s="231"/>
    </row>
    <row r="557" spans="2:11" s="18" customFormat="1" ht="18" x14ac:dyDescent="0.4">
      <c r="B557" s="326"/>
      <c r="C557" s="82"/>
      <c r="D557" s="739" t="s">
        <v>583</v>
      </c>
      <c r="E557" s="739"/>
      <c r="F557" s="739"/>
      <c r="G557" s="739"/>
      <c r="H557" s="739"/>
      <c r="I557" s="739"/>
      <c r="J557" s="739"/>
      <c r="K557" s="231"/>
    </row>
    <row r="558" spans="2:11" s="18" customFormat="1" x14ac:dyDescent="0.25">
      <c r="B558" s="322"/>
      <c r="H558" s="117"/>
      <c r="I558" s="117"/>
      <c r="J558" s="117"/>
      <c r="K558" s="231"/>
    </row>
    <row r="559" spans="2:11" s="18" customFormat="1" x14ac:dyDescent="0.25">
      <c r="B559" s="322"/>
      <c r="D559" s="284" t="s">
        <v>287</v>
      </c>
      <c r="E559" s="285" t="s">
        <v>584</v>
      </c>
      <c r="H559" s="804" t="str">
        <f>IF(OR(LEN('פרטי התאגיד'!$G$13)&gt;4, LEN('פרטי התאגיד'!$G$11)&gt;4), "לתקופה", " לשנה שנסתיימה ביום 31 בדצמבר")</f>
        <v xml:space="preserve"> לשנה שנסתיימה ביום 31 בדצמבר</v>
      </c>
      <c r="I559" s="804"/>
      <c r="J559" s="804"/>
      <c r="K559" s="379"/>
    </row>
    <row r="560" spans="2:11" s="18" customFormat="1" x14ac:dyDescent="0.25">
      <c r="B560" s="322"/>
      <c r="E560" s="283"/>
      <c r="H560" s="372">
        <f>IF('פרטי התאגיד'!$G$11="","",IF(LEN('פרטי התאגיד'!$G$11)&gt;4,MID('פרטי התאגיד'!$G$11,4,2)&amp;"-12/"&amp;MID('פרטי התאגיד'!$G$11,7,4),IF(LEN(J560)&gt;4,"1-12/"&amp;'פרטי התאגיד'!$G$11,'פרטי התאגיד'!$G$11)))</f>
        <v>2024</v>
      </c>
      <c r="I560" s="162"/>
      <c r="J560" s="372">
        <f>IF('פרטי התאגיד'!$G$13="","",IF(LEN('פרטי התאגיד'!$G$13)=4,'פרטי התאגיד'!$G$13,MID('פרטי התאגיד'!$G$13,4,2)&amp;"-12/"&amp;MID('פרטי התאגיד'!$G$13,7,4)))</f>
        <v>2023</v>
      </c>
      <c r="K560" s="380"/>
    </row>
    <row r="561" spans="2:11" s="18" customFormat="1" x14ac:dyDescent="0.25">
      <c r="B561" s="322"/>
      <c r="E561" s="18" t="s">
        <v>585</v>
      </c>
      <c r="H561" s="323">
        <f>731-355</f>
        <v>376</v>
      </c>
      <c r="I561" s="117"/>
      <c r="J561" s="323">
        <v>3511</v>
      </c>
      <c r="K561" s="231"/>
    </row>
    <row r="562" spans="2:11" s="18" customFormat="1" x14ac:dyDescent="0.25">
      <c r="B562" s="322"/>
      <c r="E562" s="18" t="s">
        <v>586</v>
      </c>
      <c r="H562" s="117">
        <f>-H571</f>
        <v>-395</v>
      </c>
      <c r="I562" s="117"/>
      <c r="J562" s="117">
        <f>-J571</f>
        <v>2740</v>
      </c>
      <c r="K562" s="231"/>
    </row>
    <row r="563" spans="2:11" s="18" customFormat="1" x14ac:dyDescent="0.25">
      <c r="B563" s="322"/>
      <c r="E563" s="18" t="s">
        <v>835</v>
      </c>
      <c r="H563" s="323"/>
      <c r="I563" s="117"/>
      <c r="J563" s="323">
        <v>-610</v>
      </c>
      <c r="K563" s="231"/>
    </row>
    <row r="564" spans="2:11" s="18" customFormat="1" x14ac:dyDescent="0.25">
      <c r="B564" s="322"/>
      <c r="H564" s="339">
        <f>SUM(H561:H563)</f>
        <v>-19</v>
      </c>
      <c r="I564" s="162"/>
      <c r="J564" s="339">
        <f>SUM(J561:J563)</f>
        <v>5641</v>
      </c>
      <c r="K564" s="231"/>
    </row>
    <row r="565" spans="2:11" s="18" customFormat="1" x14ac:dyDescent="0.25">
      <c r="B565" s="322"/>
      <c r="H565" s="117"/>
      <c r="I565" s="117"/>
      <c r="J565" s="117"/>
      <c r="K565" s="231"/>
    </row>
    <row r="566" spans="2:11" s="18" customFormat="1" x14ac:dyDescent="0.25">
      <c r="B566" s="322"/>
      <c r="H566" s="117"/>
      <c r="I566" s="117"/>
      <c r="J566" s="117"/>
      <c r="K566" s="231"/>
    </row>
    <row r="567" spans="2:11" s="18" customFormat="1" x14ac:dyDescent="0.25">
      <c r="B567" s="322"/>
      <c r="H567" s="117"/>
      <c r="I567" s="117"/>
      <c r="J567" s="117"/>
      <c r="K567" s="231"/>
    </row>
    <row r="568" spans="2:11" s="18" customFormat="1" x14ac:dyDescent="0.25">
      <c r="B568" s="322"/>
      <c r="D568" s="284" t="s">
        <v>587</v>
      </c>
      <c r="E568" s="285" t="s">
        <v>588</v>
      </c>
      <c r="G568" s="82"/>
      <c r="H568" s="804" t="str">
        <f>IF(OR(LEN('פרטי התאגיד'!$G$13)&gt;4, LEN('פרטי התאגיד'!$G$11)&gt;4), "לתקופה", " לשנה שנסתיימה ביום 31 בדצמבר")</f>
        <v xml:space="preserve"> לשנה שנסתיימה ביום 31 בדצמבר</v>
      </c>
      <c r="I568" s="804"/>
      <c r="J568" s="804"/>
      <c r="K568" s="231"/>
    </row>
    <row r="569" spans="2:11" s="18" customFormat="1" x14ac:dyDescent="0.25">
      <c r="B569" s="322"/>
      <c r="H569" s="372">
        <f>IF('פרטי התאגיד'!$G$11="","",IF(LEN('פרטי התאגיד'!$G$11)&gt;4,MID('פרטי התאגיד'!$G$11,4,2)&amp;"-12/"&amp;MID('פרטי התאגיד'!$G$11,7,4),IF(LEN(J569)&gt;4,"1-12/"&amp;'פרטי התאגיד'!$G$11,'פרטי התאגיד'!$G$11)))</f>
        <v>2024</v>
      </c>
      <c r="I569" s="162"/>
      <c r="J569" s="372">
        <f>IF('פרטי התאגיד'!$G$13="","",IF(LEN('פרטי התאגיד'!$G$13)=4,'פרטי התאגיד'!$G$13,MID('פרטי התאגיד'!$G$13,4,2)&amp;"-12/"&amp;MID('פרטי התאגיד'!$G$13,7,4)))</f>
        <v>2023</v>
      </c>
      <c r="K569" s="231"/>
    </row>
    <row r="570" spans="2:11" s="18" customFormat="1" x14ac:dyDescent="0.25">
      <c r="B570" s="322"/>
      <c r="E570" s="18" t="s">
        <v>255</v>
      </c>
      <c r="H570" s="160">
        <f>+J573</f>
        <v>-680</v>
      </c>
      <c r="I570" s="117"/>
      <c r="J570" s="323"/>
      <c r="K570" s="231"/>
    </row>
    <row r="571" spans="2:11" s="18" customFormat="1" x14ac:dyDescent="0.25">
      <c r="B571" s="322"/>
      <c r="E571" s="18" t="s">
        <v>589</v>
      </c>
      <c r="H571" s="323">
        <f>-479+874</f>
        <v>395</v>
      </c>
      <c r="I571" s="117"/>
      <c r="J571" s="323">
        <f>-2060-680</f>
        <v>-2740</v>
      </c>
      <c r="K571" s="231"/>
    </row>
    <row r="572" spans="2:11" s="18" customFormat="1" x14ac:dyDescent="0.25">
      <c r="B572" s="322"/>
      <c r="E572" s="18" t="s">
        <v>590</v>
      </c>
      <c r="H572" s="323"/>
      <c r="I572" s="117"/>
      <c r="J572" s="323">
        <v>2060</v>
      </c>
      <c r="K572" s="231"/>
    </row>
    <row r="573" spans="2:11" s="18" customFormat="1" x14ac:dyDescent="0.25">
      <c r="B573" s="322"/>
      <c r="H573" s="339">
        <f>SUM(H570:H572)</f>
        <v>-285</v>
      </c>
      <c r="I573" s="162"/>
      <c r="J573" s="339">
        <f>SUM(J570:J572)</f>
        <v>-680</v>
      </c>
      <c r="K573" s="231"/>
    </row>
    <row r="574" spans="2:11" s="18" customFormat="1" x14ac:dyDescent="0.25">
      <c r="B574" s="229"/>
      <c r="H574" s="117"/>
      <c r="I574" s="117"/>
      <c r="J574" s="117"/>
      <c r="K574" s="231"/>
    </row>
    <row r="575" spans="2:11" s="18" customFormat="1" ht="18.75" x14ac:dyDescent="0.25">
      <c r="B575" s="312" t="s">
        <v>591</v>
      </c>
      <c r="C575" s="366" t="s">
        <v>207</v>
      </c>
      <c r="D575" s="302" t="s">
        <v>592</v>
      </c>
      <c r="E575" s="302"/>
      <c r="F575" s="220"/>
      <c r="G575" s="387"/>
      <c r="H575" s="388"/>
      <c r="I575" s="388"/>
      <c r="J575" s="388"/>
      <c r="K575" s="379"/>
    </row>
    <row r="576" spans="2:11" s="18" customFormat="1" ht="18" x14ac:dyDescent="0.4">
      <c r="B576" s="326"/>
      <c r="D576" s="285"/>
      <c r="H576" s="117"/>
      <c r="I576" s="117"/>
      <c r="J576" s="117"/>
      <c r="K576" s="231"/>
    </row>
    <row r="577" spans="2:11" s="18" customFormat="1" x14ac:dyDescent="0.25">
      <c r="B577" s="322"/>
      <c r="D577" s="285" t="s">
        <v>247</v>
      </c>
      <c r="G577" s="349" t="s">
        <v>593</v>
      </c>
      <c r="H577" s="804" t="str">
        <f>IF(OR(LEN('פרטי התאגיד'!$G$13)&gt;4, LEN('פרטי התאגיד'!$G$11)&gt;4), "לתקופה", " לשנה שנסתיימה ביום 31 בדצמבר")</f>
        <v xml:space="preserve"> לשנה שנסתיימה ביום 31 בדצמבר</v>
      </c>
      <c r="I577" s="804"/>
      <c r="J577" s="804"/>
      <c r="K577" s="379"/>
    </row>
    <row r="578" spans="2:11" s="18" customFormat="1" x14ac:dyDescent="0.25">
      <c r="B578" s="322"/>
      <c r="E578" s="283"/>
      <c r="G578" s="114"/>
      <c r="H578" s="372">
        <f>IF('פרטי התאגיד'!$G$11="","",IF(LEN('פרטי התאגיד'!$G$11)&gt;4,MID('פרטי התאגיד'!$G$11,4,2)&amp;"-12/"&amp;MID('פרטי התאגיד'!$G$11,7,4),IF(LEN(J578)&gt;4,"1-12/"&amp;'פרטי התאגיד'!$G$11,'פרטי התאגיד'!$G$11)))</f>
        <v>2024</v>
      </c>
      <c r="I578" s="162"/>
      <c r="J578" s="372">
        <f>IF('פרטי התאגיד'!$G$13="","",IF(LEN('פרטי התאגיד'!$G$13)=4,'פרטי התאגיד'!$G$13,MID('פרטי התאגיד'!$G$13,4,2)&amp;"-12/"&amp;MID('פרטי התאגיד'!$G$13,7,4)))</f>
        <v>2023</v>
      </c>
      <c r="K578" s="380"/>
    </row>
    <row r="579" spans="2:11" s="18" customFormat="1" x14ac:dyDescent="0.25">
      <c r="B579" s="322"/>
      <c r="D579" s="18" t="s">
        <v>594</v>
      </c>
      <c r="G579" s="117" t="s">
        <v>471</v>
      </c>
      <c r="H579" s="117">
        <f>H343</f>
        <v>1993</v>
      </c>
      <c r="I579" s="117"/>
      <c r="J579" s="117">
        <f>J343</f>
        <v>1685</v>
      </c>
      <c r="K579" s="231"/>
    </row>
    <row r="580" spans="2:11" s="18" customFormat="1" x14ac:dyDescent="0.25">
      <c r="B580" s="322"/>
      <c r="D580" s="18" t="s">
        <v>595</v>
      </c>
      <c r="G580" s="117" t="s">
        <v>485</v>
      </c>
      <c r="H580" s="117">
        <f>H361</f>
        <v>0</v>
      </c>
      <c r="I580" s="117"/>
      <c r="J580" s="117">
        <f>J361</f>
        <v>0</v>
      </c>
      <c r="K580" s="231"/>
    </row>
    <row r="581" spans="2:11" s="18" customFormat="1" x14ac:dyDescent="0.25">
      <c r="B581" s="322"/>
      <c r="D581" s="18" t="s">
        <v>596</v>
      </c>
      <c r="G581" s="117" t="s">
        <v>503</v>
      </c>
      <c r="H581" s="117">
        <f>H396</f>
        <v>1993</v>
      </c>
      <c r="I581" s="117"/>
      <c r="J581" s="117">
        <f>J396</f>
        <v>1685</v>
      </c>
      <c r="K581" s="231"/>
    </row>
    <row r="582" spans="2:11" s="18" customFormat="1" x14ac:dyDescent="0.25">
      <c r="B582" s="322"/>
      <c r="D582" s="18" t="s">
        <v>597</v>
      </c>
      <c r="G582" s="117" t="s">
        <v>508</v>
      </c>
      <c r="H582" s="117">
        <f>H413</f>
        <v>0</v>
      </c>
      <c r="I582" s="117"/>
      <c r="J582" s="117">
        <f>J413</f>
        <v>0</v>
      </c>
      <c r="K582" s="231"/>
    </row>
    <row r="583" spans="2:11" s="18" customFormat="1" x14ac:dyDescent="0.25">
      <c r="B583" s="322"/>
      <c r="D583" s="18" t="s">
        <v>598</v>
      </c>
      <c r="G583" s="359">
        <v>24</v>
      </c>
      <c r="H583" s="117">
        <f>H493</f>
        <v>1618</v>
      </c>
      <c r="I583" s="117"/>
      <c r="J583" s="117">
        <f>J493</f>
        <v>1472</v>
      </c>
      <c r="K583" s="231"/>
    </row>
    <row r="584" spans="2:11" s="18" customFormat="1" x14ac:dyDescent="0.25">
      <c r="B584" s="322"/>
      <c r="D584" s="18" t="s">
        <v>599</v>
      </c>
      <c r="G584" s="359">
        <v>23</v>
      </c>
      <c r="H584" s="117">
        <f>H481</f>
        <v>0</v>
      </c>
      <c r="J584" s="117">
        <f>J481</f>
        <v>0</v>
      </c>
      <c r="K584" s="231"/>
    </row>
    <row r="585" spans="2:11" s="18" customFormat="1" x14ac:dyDescent="0.25">
      <c r="B585" s="322"/>
      <c r="D585" s="18" t="s">
        <v>600</v>
      </c>
      <c r="G585" s="84"/>
      <c r="H585" s="323"/>
      <c r="I585" s="117"/>
      <c r="J585" s="323"/>
      <c r="K585" s="231"/>
    </row>
    <row r="586" spans="2:11" s="18" customFormat="1" x14ac:dyDescent="0.25">
      <c r="B586" s="322"/>
      <c r="D586" s="18" t="s">
        <v>601</v>
      </c>
      <c r="G586" s="84"/>
      <c r="H586" s="323"/>
      <c r="I586" s="117"/>
      <c r="J586" s="323"/>
      <c r="K586" s="231"/>
    </row>
    <row r="587" spans="2:11" s="18" customFormat="1" x14ac:dyDescent="0.25">
      <c r="B587" s="322"/>
      <c r="G587" s="358"/>
      <c r="H587" s="339">
        <f>SUM(H579:H586)</f>
        <v>5604</v>
      </c>
      <c r="I587" s="162"/>
      <c r="J587" s="339">
        <f>SUM(J579:J586)</f>
        <v>4842</v>
      </c>
      <c r="K587" s="231"/>
    </row>
    <row r="588" spans="2:11" s="18" customFormat="1" ht="18" x14ac:dyDescent="0.4">
      <c r="B588" s="326"/>
      <c r="D588" s="285"/>
      <c r="H588" s="117"/>
      <c r="I588" s="117"/>
      <c r="J588" s="117"/>
      <c r="K588" s="231"/>
    </row>
    <row r="589" spans="2:11" s="18" customFormat="1" x14ac:dyDescent="0.25">
      <c r="B589" s="322"/>
      <c r="D589" s="285" t="s">
        <v>247</v>
      </c>
      <c r="G589" s="349" t="s">
        <v>593</v>
      </c>
      <c r="H589" s="804" t="str">
        <f>IF(OR(LEN('פרטי התאגיד'!$G$13)&gt;4, LEN('פרטי התאגיד'!$G$11)&gt;4), "לתקופה", " לשנה שנסתיימה ביום 31 בדצמבר")</f>
        <v xml:space="preserve"> לשנה שנסתיימה ביום 31 בדצמבר</v>
      </c>
      <c r="I589" s="804"/>
      <c r="J589" s="804"/>
      <c r="K589" s="379"/>
    </row>
    <row r="590" spans="2:11" s="18" customFormat="1" x14ac:dyDescent="0.25">
      <c r="B590" s="322"/>
      <c r="E590" s="283"/>
      <c r="G590" s="114"/>
      <c r="H590" s="372">
        <f>IF('פרטי התאגיד'!$G$11="","",IF(LEN('פרטי התאגיד'!$G$11)&gt;4,MID('פרטי התאגיד'!$G$11,4,2)&amp;"-12/"&amp;MID('פרטי התאגיד'!$G$11,7,4),IF(LEN(J590)&gt;4,"1-12/"&amp;'פרטי התאגיד'!$G$11,'פרטי התאגיד'!$G$11)))</f>
        <v>2024</v>
      </c>
      <c r="I590" s="162"/>
      <c r="J590" s="372">
        <f>IF('פרטי התאגיד'!$G$13="","",IF(LEN('פרטי התאגיד'!$G$13)=4,'פרטי התאגיד'!$G$13,MID('פרטי התאגיד'!$G$13,4,2)&amp;"-12/"&amp;MID('פרטי התאגיד'!$G$13,7,4)))</f>
        <v>2023</v>
      </c>
      <c r="K590" s="380"/>
    </row>
    <row r="591" spans="2:11" s="18" customFormat="1" x14ac:dyDescent="0.25">
      <c r="B591" s="322"/>
      <c r="D591" s="18" t="s">
        <v>602</v>
      </c>
      <c r="G591" s="117"/>
      <c r="H591" s="323">
        <v>240</v>
      </c>
      <c r="I591" s="117"/>
      <c r="J591" s="323">
        <v>240</v>
      </c>
      <c r="K591" s="231"/>
    </row>
    <row r="592" spans="2:11" s="18" customFormat="1" x14ac:dyDescent="0.25">
      <c r="B592" s="322"/>
      <c r="D592" s="18" t="s">
        <v>603</v>
      </c>
      <c r="G592" s="117"/>
      <c r="H592" s="323">
        <v>205</v>
      </c>
      <c r="I592" s="117"/>
      <c r="J592" s="323">
        <v>139</v>
      </c>
      <c r="K592" s="231"/>
    </row>
    <row r="593" spans="2:12" s="18" customFormat="1" x14ac:dyDescent="0.25">
      <c r="B593" s="322"/>
      <c r="D593" s="18" t="s">
        <v>604</v>
      </c>
      <c r="G593" s="117"/>
      <c r="H593" s="323">
        <v>137</v>
      </c>
      <c r="I593" s="117"/>
      <c r="J593" s="323">
        <f>3+105</f>
        <v>108</v>
      </c>
      <c r="K593" s="231"/>
    </row>
    <row r="594" spans="2:12" s="18" customFormat="1" x14ac:dyDescent="0.25">
      <c r="B594" s="322"/>
      <c r="D594" s="18" t="s">
        <v>605</v>
      </c>
      <c r="G594" s="117"/>
      <c r="H594" s="323">
        <v>113</v>
      </c>
      <c r="I594" s="117"/>
      <c r="J594" s="323">
        <v>131</v>
      </c>
      <c r="K594" s="231"/>
    </row>
    <row r="595" spans="2:12" s="18" customFormat="1" x14ac:dyDescent="0.25">
      <c r="B595" s="322"/>
      <c r="D595" s="18" t="s">
        <v>606</v>
      </c>
      <c r="G595" s="117"/>
      <c r="H595" s="323"/>
      <c r="I595" s="117"/>
      <c r="J595" s="323"/>
      <c r="K595" s="231"/>
    </row>
    <row r="596" spans="2:12" s="18" customFormat="1" x14ac:dyDescent="0.25">
      <c r="B596" s="381"/>
      <c r="D596" s="18" t="s">
        <v>607</v>
      </c>
      <c r="G596" s="359"/>
      <c r="H596" s="323">
        <v>21</v>
      </c>
      <c r="I596" s="117"/>
      <c r="J596" s="323">
        <v>0</v>
      </c>
      <c r="K596" s="231"/>
    </row>
    <row r="597" spans="2:12" s="18" customFormat="1" x14ac:dyDescent="0.25">
      <c r="B597" s="322"/>
      <c r="D597" s="287" t="s">
        <v>863</v>
      </c>
      <c r="G597" s="359"/>
      <c r="H597" s="323">
        <v>357</v>
      </c>
      <c r="I597" s="117"/>
      <c r="J597" s="323">
        <v>342</v>
      </c>
      <c r="K597" s="231"/>
    </row>
    <row r="598" spans="2:12" s="18" customFormat="1" x14ac:dyDescent="0.25">
      <c r="B598" s="322"/>
      <c r="D598" s="18" t="s">
        <v>608</v>
      </c>
      <c r="G598" s="359"/>
      <c r="H598" s="323"/>
      <c r="I598" s="117"/>
      <c r="J598" s="323"/>
      <c r="K598" s="231"/>
    </row>
    <row r="599" spans="2:12" s="18" customFormat="1" x14ac:dyDescent="0.25">
      <c r="B599" s="322"/>
      <c r="D599" s="18" t="s">
        <v>609</v>
      </c>
      <c r="G599" s="84"/>
      <c r="H599" s="323"/>
      <c r="I599" s="117"/>
      <c r="J599" s="323"/>
      <c r="K599" s="231"/>
    </row>
    <row r="600" spans="2:12" s="18" customFormat="1" x14ac:dyDescent="0.25">
      <c r="B600" s="322"/>
      <c r="D600" s="18" t="s">
        <v>610</v>
      </c>
      <c r="G600" s="358"/>
      <c r="H600" s="339">
        <f>SUM(H591:H599)</f>
        <v>1073</v>
      </c>
      <c r="I600" s="162"/>
      <c r="J600" s="339">
        <f>SUM(J591:J599)</f>
        <v>960</v>
      </c>
      <c r="K600" s="231"/>
    </row>
    <row r="601" spans="2:12" s="18" customFormat="1" x14ac:dyDescent="0.25">
      <c r="B601" s="381" t="s">
        <v>248</v>
      </c>
      <c r="D601" s="376" t="s">
        <v>611</v>
      </c>
      <c r="G601" s="358"/>
      <c r="H601" s="117"/>
      <c r="I601" s="117"/>
      <c r="J601" s="117"/>
      <c r="K601" s="231"/>
    </row>
    <row r="602" spans="2:12" s="18" customFormat="1" x14ac:dyDescent="0.25">
      <c r="B602" s="322"/>
      <c r="G602" s="358"/>
      <c r="H602" s="117"/>
      <c r="I602" s="117"/>
      <c r="J602" s="117"/>
      <c r="K602" s="231"/>
    </row>
    <row r="603" spans="2:12" s="18" customFormat="1" ht="18.75" x14ac:dyDescent="0.25">
      <c r="B603" s="312" t="s">
        <v>612</v>
      </c>
      <c r="C603" s="366" t="s">
        <v>207</v>
      </c>
      <c r="D603" s="302" t="s">
        <v>613</v>
      </c>
      <c r="E603" s="302"/>
      <c r="F603" s="220"/>
      <c r="G603" s="387"/>
      <c r="H603" s="388"/>
      <c r="I603" s="388"/>
      <c r="J603" s="388"/>
      <c r="K603" s="379"/>
    </row>
    <row r="604" spans="2:12" s="18" customFormat="1" x14ac:dyDescent="0.25">
      <c r="B604" s="322"/>
      <c r="D604" s="810" t="s">
        <v>614</v>
      </c>
      <c r="E604" s="810"/>
      <c r="F604" s="810"/>
      <c r="G604" s="810"/>
      <c r="H604" s="117"/>
      <c r="I604" s="117"/>
      <c r="J604" s="117"/>
      <c r="K604" s="231"/>
    </row>
    <row r="605" spans="2:12" s="18" customFormat="1" x14ac:dyDescent="0.25">
      <c r="B605" s="322"/>
      <c r="D605" s="810"/>
      <c r="E605" s="810"/>
      <c r="F605" s="810"/>
      <c r="G605" s="810"/>
      <c r="H605" s="350"/>
      <c r="I605" s="350"/>
      <c r="J605" s="350"/>
      <c r="K605" s="385"/>
      <c r="L605" s="345"/>
    </row>
    <row r="606" spans="2:12" s="18" customFormat="1" x14ac:dyDescent="0.25">
      <c r="B606" s="322"/>
      <c r="G606" s="345"/>
      <c r="H606" s="804" t="str">
        <f>IF(OR(LEN('פרטי התאגיד'!$G$13)&gt;4, LEN('פרטי התאגיד'!$G$11)&gt;4), "לתקופה", " לשנה שנסתיימה ביום 31 בדצמבר")</f>
        <v xml:space="preserve"> לשנה שנסתיימה ביום 31 בדצמבר</v>
      </c>
      <c r="I606" s="804"/>
      <c r="J606" s="804"/>
      <c r="K606" s="231"/>
    </row>
    <row r="607" spans="2:12" s="18" customFormat="1" x14ac:dyDescent="0.25">
      <c r="B607" s="322"/>
      <c r="G607" s="345"/>
      <c r="H607" s="372">
        <f>IF('פרטי התאגיד'!$G$11="","",IF(LEN('פרטי התאגיד'!$G$11)&gt;4,MID('פרטי התאגיד'!$G$11,4,2)&amp;"-12/"&amp;MID('פרטי התאגיד'!$G$11,7,4),IF(LEN(J607)&gt;4,"1-12/"&amp;'פרטי התאגיד'!$G$11,'פרטי התאגיד'!$G$11)))</f>
        <v>2024</v>
      </c>
      <c r="I607" s="162"/>
      <c r="J607" s="372">
        <f>IF('פרטי התאגיד'!$G$13="","",IF(LEN('פרטי התאגיד'!$G$13)=4,'פרטי התאגיד'!$G$13,MID('פרטי התאגיד'!$G$13,4,2)&amp;"-12/"&amp;MID('פרטי התאגיד'!$G$13,7,4)))</f>
        <v>2023</v>
      </c>
      <c r="K607" s="231"/>
    </row>
    <row r="608" spans="2:12" s="18" customFormat="1" x14ac:dyDescent="0.25">
      <c r="B608" s="322"/>
      <c r="E608" s="18" t="s">
        <v>615</v>
      </c>
      <c r="G608" s="345"/>
      <c r="H608" s="323">
        <v>-4706</v>
      </c>
      <c r="I608" s="117"/>
      <c r="J608" s="323">
        <f>-6118*100/117</f>
        <v>-5229.0598290598291</v>
      </c>
      <c r="K608" s="231"/>
    </row>
    <row r="609" spans="2:12" s="18" customFormat="1" x14ac:dyDescent="0.25">
      <c r="B609" s="322"/>
      <c r="E609" s="18" t="s">
        <v>616</v>
      </c>
      <c r="H609" s="323"/>
      <c r="I609" s="117"/>
      <c r="J609" s="323"/>
      <c r="K609" s="231"/>
    </row>
    <row r="610" spans="2:12" s="18" customFormat="1" x14ac:dyDescent="0.25">
      <c r="B610" s="322"/>
      <c r="E610" s="18" t="s">
        <v>617</v>
      </c>
      <c r="H610" s="323"/>
      <c r="I610" s="117"/>
      <c r="J610" s="323"/>
      <c r="K610" s="231"/>
    </row>
    <row r="611" spans="2:12" s="18" customFormat="1" x14ac:dyDescent="0.25">
      <c r="B611" s="322"/>
      <c r="E611" s="18" t="s">
        <v>618</v>
      </c>
      <c r="H611" s="323">
        <v>242</v>
      </c>
      <c r="I611" s="117"/>
      <c r="J611" s="323">
        <v>593</v>
      </c>
      <c r="K611" s="231"/>
    </row>
    <row r="612" spans="2:12" s="18" customFormat="1" x14ac:dyDescent="0.25">
      <c r="B612" s="322"/>
      <c r="E612" s="18" t="s">
        <v>619</v>
      </c>
      <c r="H612" s="323"/>
      <c r="I612" s="117"/>
      <c r="J612" s="323"/>
      <c r="K612" s="231"/>
    </row>
    <row r="613" spans="2:12" s="18" customFormat="1" x14ac:dyDescent="0.25">
      <c r="B613" s="322"/>
      <c r="E613" s="18" t="s">
        <v>620</v>
      </c>
      <c r="H613" s="323"/>
      <c r="I613" s="117"/>
      <c r="J613" s="323"/>
      <c r="K613" s="231"/>
    </row>
    <row r="614" spans="2:12" s="18" customFormat="1" x14ac:dyDescent="0.25">
      <c r="B614" s="322"/>
      <c r="E614" s="18" t="s">
        <v>621</v>
      </c>
      <c r="H614" s="323">
        <v>255</v>
      </c>
      <c r="I614" s="117"/>
      <c r="J614" s="323">
        <v>263</v>
      </c>
      <c r="K614" s="231"/>
    </row>
    <row r="615" spans="2:12" s="18" customFormat="1" x14ac:dyDescent="0.25">
      <c r="B615" s="322"/>
      <c r="E615" s="18" t="s">
        <v>622</v>
      </c>
      <c r="H615" s="323"/>
      <c r="I615" s="117"/>
      <c r="J615" s="323"/>
      <c r="K615" s="231"/>
    </row>
    <row r="616" spans="2:12" s="18" customFormat="1" x14ac:dyDescent="0.25">
      <c r="B616" s="322"/>
      <c r="E616" s="18" t="s">
        <v>261</v>
      </c>
      <c r="H616" s="323">
        <v>1154</v>
      </c>
      <c r="I616" s="117"/>
      <c r="J616" s="323">
        <v>1053</v>
      </c>
      <c r="K616" s="231"/>
    </row>
    <row r="617" spans="2:12" s="18" customFormat="1" x14ac:dyDescent="0.25">
      <c r="B617" s="322"/>
      <c r="E617" s="18" t="s">
        <v>623</v>
      </c>
      <c r="H617" s="323"/>
      <c r="I617" s="117"/>
      <c r="J617" s="323"/>
      <c r="K617" s="231"/>
    </row>
    <row r="618" spans="2:12" s="18" customFormat="1" x14ac:dyDescent="0.25">
      <c r="B618" s="322"/>
      <c r="E618" s="18" t="s">
        <v>474</v>
      </c>
      <c r="H618" s="323"/>
      <c r="I618" s="117"/>
      <c r="J618" s="323"/>
      <c r="K618" s="231"/>
    </row>
    <row r="619" spans="2:12" s="18" customFormat="1" x14ac:dyDescent="0.25">
      <c r="B619" s="322"/>
      <c r="E619" s="18" t="s">
        <v>624</v>
      </c>
      <c r="H619" s="323"/>
      <c r="I619" s="117"/>
      <c r="J619" s="323"/>
      <c r="K619" s="231"/>
    </row>
    <row r="620" spans="2:12" s="18" customFormat="1" x14ac:dyDescent="0.25">
      <c r="B620" s="322"/>
      <c r="E620" s="18" t="s">
        <v>479</v>
      </c>
      <c r="H620" s="323"/>
      <c r="I620" s="117"/>
      <c r="J620" s="323"/>
      <c r="K620" s="231"/>
    </row>
    <row r="621" spans="2:12" s="18" customFormat="1" x14ac:dyDescent="0.25">
      <c r="B621" s="322"/>
      <c r="E621" s="18" t="s">
        <v>625</v>
      </c>
      <c r="H621" s="323"/>
      <c r="I621" s="117"/>
      <c r="J621" s="323"/>
      <c r="K621" s="231"/>
    </row>
    <row r="622" spans="2:12" x14ac:dyDescent="0.25">
      <c r="B622" s="322"/>
      <c r="C622" s="18"/>
      <c r="D622" s="18"/>
      <c r="E622" s="18" t="s">
        <v>626</v>
      </c>
      <c r="F622" s="18"/>
      <c r="G622" s="18"/>
      <c r="H622" s="323"/>
      <c r="J622" s="323"/>
      <c r="K622" s="231"/>
      <c r="L622" s="18"/>
    </row>
    <row r="623" spans="2:12" x14ac:dyDescent="0.25">
      <c r="B623" s="322"/>
      <c r="C623" s="18"/>
      <c r="D623" s="18"/>
      <c r="E623" s="18" t="s">
        <v>627</v>
      </c>
      <c r="F623" s="18"/>
      <c r="G623" s="18"/>
      <c r="H623" s="323"/>
      <c r="J623" s="323"/>
      <c r="K623" s="231"/>
      <c r="L623" s="18"/>
    </row>
    <row r="624" spans="2:12" x14ac:dyDescent="0.25">
      <c r="B624" s="322"/>
      <c r="C624" s="18"/>
      <c r="D624" s="18"/>
      <c r="E624" s="18" t="s">
        <v>544</v>
      </c>
      <c r="F624" s="18"/>
      <c r="G624" s="18"/>
      <c r="H624" s="323">
        <v>67</v>
      </c>
      <c r="J624" s="323">
        <v>45</v>
      </c>
      <c r="K624" s="231"/>
      <c r="L624" s="18"/>
    </row>
    <row r="625" spans="2:12" x14ac:dyDescent="0.25">
      <c r="B625" s="322"/>
      <c r="C625" s="18"/>
      <c r="D625" s="18"/>
      <c r="E625" s="18" t="s">
        <v>628</v>
      </c>
      <c r="F625" s="18"/>
      <c r="G625" s="18"/>
      <c r="H625" s="323"/>
      <c r="J625" s="323"/>
      <c r="K625" s="231"/>
      <c r="L625" s="18"/>
    </row>
    <row r="626" spans="2:12" x14ac:dyDescent="0.25">
      <c r="B626" s="322"/>
      <c r="C626" s="18"/>
      <c r="D626" s="18"/>
      <c r="E626" s="18" t="s">
        <v>629</v>
      </c>
      <c r="F626" s="18"/>
      <c r="G626" s="18"/>
      <c r="H626" s="323"/>
      <c r="J626" s="323"/>
      <c r="K626" s="231"/>
      <c r="L626" s="18"/>
    </row>
    <row r="627" spans="2:12" x14ac:dyDescent="0.25">
      <c r="B627" s="322"/>
      <c r="C627" s="18"/>
      <c r="D627" s="18"/>
      <c r="E627" s="18" t="s">
        <v>630</v>
      </c>
      <c r="F627" s="18"/>
      <c r="G627" s="18"/>
      <c r="H627" s="323"/>
      <c r="J627" s="323"/>
      <c r="K627" s="231"/>
      <c r="L627" s="18"/>
    </row>
    <row r="628" spans="2:12" x14ac:dyDescent="0.25">
      <c r="B628" s="322"/>
      <c r="C628" s="18"/>
      <c r="D628" s="18"/>
      <c r="E628" s="287" t="s">
        <v>631</v>
      </c>
      <c r="F628" s="18"/>
      <c r="G628" s="18"/>
      <c r="H628" s="323"/>
      <c r="J628" s="323"/>
      <c r="K628" s="231"/>
      <c r="L628" s="18"/>
    </row>
    <row r="629" spans="2:12" x14ac:dyDescent="0.25">
      <c r="B629" s="322"/>
      <c r="C629" s="18"/>
      <c r="D629" s="18"/>
      <c r="E629" s="287" t="s">
        <v>632</v>
      </c>
      <c r="F629" s="18"/>
      <c r="G629" s="18"/>
      <c r="H629" s="323">
        <v>-356</v>
      </c>
      <c r="J629" s="323">
        <f>-3306*100/117*-1</f>
        <v>2825.6410256410259</v>
      </c>
      <c r="K629" s="231"/>
      <c r="L629" s="18"/>
    </row>
    <row r="630" spans="2:12" x14ac:dyDescent="0.25">
      <c r="B630" s="322"/>
      <c r="C630" s="18"/>
      <c r="D630" s="18"/>
      <c r="E630" s="287" t="s">
        <v>870</v>
      </c>
      <c r="F630" s="18"/>
      <c r="G630" s="18"/>
      <c r="H630" s="323">
        <v>-58</v>
      </c>
      <c r="J630" s="323"/>
      <c r="K630" s="231"/>
      <c r="L630" s="18"/>
    </row>
    <row r="631" spans="2:12" x14ac:dyDescent="0.25">
      <c r="B631" s="322"/>
      <c r="C631" s="18"/>
      <c r="D631" s="18"/>
      <c r="E631" s="287" t="s">
        <v>9</v>
      </c>
      <c r="F631" s="18"/>
      <c r="G631" s="18"/>
      <c r="H631" s="323"/>
      <c r="J631" s="323"/>
      <c r="K631" s="231"/>
      <c r="L631" s="18"/>
    </row>
    <row r="632" spans="2:12" x14ac:dyDescent="0.25">
      <c r="B632" s="322"/>
      <c r="C632" s="18"/>
      <c r="D632" s="18"/>
      <c r="E632" s="287" t="s">
        <v>9</v>
      </c>
      <c r="F632" s="18"/>
      <c r="G632" s="18"/>
      <c r="H632" s="323"/>
      <c r="J632" s="323"/>
      <c r="K632" s="231"/>
      <c r="L632" s="18"/>
    </row>
    <row r="633" spans="2:12" x14ac:dyDescent="0.25">
      <c r="B633" s="322"/>
      <c r="C633" s="18"/>
      <c r="D633" s="18"/>
      <c r="E633" s="18"/>
      <c r="F633" s="18"/>
      <c r="G633" s="18"/>
      <c r="H633" s="339">
        <f>SUM(H608:H632)</f>
        <v>-3402</v>
      </c>
      <c r="I633" s="162"/>
      <c r="J633" s="339">
        <f>SUM(J608:J632)</f>
        <v>-449.41880341880324</v>
      </c>
      <c r="K633" s="231"/>
      <c r="L633" s="18"/>
    </row>
    <row r="634" spans="2:12" ht="9" customHeight="1" x14ac:dyDescent="0.25">
      <c r="B634" s="322"/>
      <c r="C634" s="18"/>
      <c r="D634" s="18"/>
      <c r="E634" s="18"/>
      <c r="F634" s="18"/>
      <c r="G634" s="18"/>
      <c r="K634" s="231"/>
      <c r="L634" s="18"/>
    </row>
    <row r="635" spans="2:12" ht="9" customHeight="1" x14ac:dyDescent="0.25">
      <c r="B635" s="322"/>
      <c r="C635" s="18"/>
      <c r="D635" s="345"/>
      <c r="E635" s="345"/>
      <c r="F635" s="345"/>
      <c r="G635" s="18"/>
      <c r="H635" s="350"/>
      <c r="I635" s="350"/>
      <c r="J635" s="350"/>
      <c r="K635" s="231"/>
      <c r="L635" s="18"/>
    </row>
    <row r="636" spans="2:12" ht="9" customHeight="1" x14ac:dyDescent="0.25">
      <c r="B636" s="322"/>
      <c r="C636" s="18"/>
      <c r="D636" s="809"/>
      <c r="E636" s="809"/>
      <c r="F636" s="809"/>
      <c r="G636" s="18"/>
      <c r="H636" s="350"/>
      <c r="I636" s="350"/>
      <c r="J636" s="350"/>
      <c r="K636" s="231"/>
      <c r="L636" s="18"/>
    </row>
    <row r="637" spans="2:12" ht="9" customHeight="1" x14ac:dyDescent="0.25">
      <c r="B637" s="322"/>
      <c r="C637" s="18"/>
      <c r="D637" s="360"/>
      <c r="E637" s="360"/>
      <c r="F637" s="360"/>
      <c r="G637" s="18"/>
      <c r="H637" s="350"/>
      <c r="I637" s="350"/>
      <c r="J637" s="350"/>
      <c r="K637" s="231"/>
      <c r="L637" s="18"/>
    </row>
    <row r="638" spans="2:12" x14ac:dyDescent="0.25">
      <c r="B638" s="322"/>
      <c r="C638" s="18"/>
      <c r="D638" s="18"/>
      <c r="E638" s="18"/>
      <c r="F638" s="18"/>
      <c r="G638" s="18"/>
      <c r="H638" s="306"/>
      <c r="I638" s="306"/>
      <c r="J638" s="306"/>
      <c r="K638" s="386"/>
      <c r="L638" s="284"/>
    </row>
    <row r="639" spans="2:12" x14ac:dyDescent="0.25">
      <c r="B639" s="322"/>
      <c r="C639" s="18"/>
      <c r="D639" s="18" t="s">
        <v>633</v>
      </c>
      <c r="E639" s="18"/>
      <c r="F639" s="18"/>
      <c r="G639" s="18"/>
      <c r="K639" s="386"/>
      <c r="L639" s="284"/>
    </row>
    <row r="640" spans="2:12" x14ac:dyDescent="0.25">
      <c r="B640" s="322"/>
      <c r="C640" s="18"/>
      <c r="D640" s="18"/>
      <c r="E640" s="18"/>
      <c r="F640" s="18"/>
      <c r="G640" s="18"/>
      <c r="K640" s="386"/>
      <c r="L640" s="284"/>
    </row>
    <row r="641" spans="2:12" x14ac:dyDescent="0.25">
      <c r="B641" s="322"/>
      <c r="C641" s="18"/>
      <c r="D641" s="18"/>
      <c r="E641" s="18"/>
      <c r="F641" s="18"/>
      <c r="G641" s="345"/>
      <c r="H641" s="804" t="str">
        <f>IF(OR(LEN('פרטי התאגיד'!$G$13)&gt;4, LEN('פרטי התאגיד'!$G$11)&gt;4), "לתקופה", " לשנה שנסתיימה ביום 31 בדצמבר")</f>
        <v xml:space="preserve"> לשנה שנסתיימה ביום 31 בדצמבר</v>
      </c>
      <c r="I641" s="804"/>
      <c r="J641" s="804"/>
      <c r="K641" s="386"/>
      <c r="L641" s="284"/>
    </row>
    <row r="642" spans="2:12" x14ac:dyDescent="0.25">
      <c r="B642" s="322"/>
      <c r="C642" s="18"/>
      <c r="D642" s="18"/>
      <c r="E642" s="18"/>
      <c r="F642" s="18"/>
      <c r="G642" s="345"/>
      <c r="H642" s="372">
        <f>IF('פרטי התאגיד'!$G$11="","",IF(LEN('פרטי התאגיד'!$G$11)&gt;4,MID('פרטי התאגיד'!$G$11,4,2)&amp;"-12/"&amp;MID('פרטי התאגיד'!$G$11,7,4),IF(LEN(J642)&gt;4,"1-12/"&amp;'פרטי התאגיד'!$G$11,'פרטי התאגיד'!$G$11)))</f>
        <v>2024</v>
      </c>
      <c r="I642" s="162"/>
      <c r="J642" s="372">
        <f>IF('פרטי התאגיד'!$G$13="","",IF(LEN('פרטי התאגיד'!$G$13)=4,'פרטי התאגיד'!$G$13,MID('פרטי התאגיד'!$G$13,4,2)&amp;"-12/"&amp;MID('פרטי התאגיד'!$G$13,7,4)))</f>
        <v>2023</v>
      </c>
      <c r="K642" s="386"/>
      <c r="L642" s="284"/>
    </row>
    <row r="643" spans="2:12" x14ac:dyDescent="0.25">
      <c r="B643" s="322"/>
      <c r="C643" s="18"/>
      <c r="D643" s="18"/>
      <c r="E643" s="18" t="s">
        <v>634</v>
      </c>
      <c r="F643" s="18"/>
      <c r="G643" s="345"/>
      <c r="H643" s="323">
        <v>2984</v>
      </c>
      <c r="I643" s="162"/>
      <c r="J643" s="323">
        <v>1199</v>
      </c>
      <c r="K643" s="386"/>
      <c r="L643" s="284"/>
    </row>
    <row r="644" spans="2:12" x14ac:dyDescent="0.25">
      <c r="B644" s="322"/>
      <c r="C644" s="18"/>
      <c r="D644" s="18"/>
      <c r="E644" s="18" t="s">
        <v>635</v>
      </c>
      <c r="F644" s="18"/>
      <c r="G644" s="18"/>
      <c r="H644" s="323"/>
      <c r="I644" s="162"/>
      <c r="J644" s="323">
        <v>0</v>
      </c>
      <c r="K644" s="386"/>
      <c r="L644" s="284"/>
    </row>
    <row r="645" spans="2:12" x14ac:dyDescent="0.25">
      <c r="B645" s="322"/>
      <c r="C645" s="18"/>
      <c r="D645" s="18"/>
      <c r="E645" s="18" t="s">
        <v>636</v>
      </c>
      <c r="F645" s="18"/>
      <c r="G645" s="18"/>
      <c r="H645" s="323"/>
      <c r="I645" s="162"/>
      <c r="J645" s="323"/>
      <c r="K645" s="386"/>
      <c r="L645" s="284"/>
    </row>
    <row r="646" spans="2:12" x14ac:dyDescent="0.25">
      <c r="B646" s="322"/>
      <c r="C646" s="18"/>
      <c r="D646" s="18"/>
      <c r="E646" s="18" t="s">
        <v>637</v>
      </c>
      <c r="F646" s="18"/>
      <c r="G646" s="18"/>
      <c r="H646" s="323"/>
      <c r="I646" s="162"/>
      <c r="J646" s="323"/>
      <c r="K646" s="386"/>
      <c r="L646" s="284"/>
    </row>
    <row r="647" spans="2:12" x14ac:dyDescent="0.25">
      <c r="B647" s="322"/>
      <c r="C647" s="18"/>
      <c r="D647" s="18"/>
      <c r="E647" s="18" t="s">
        <v>638</v>
      </c>
      <c r="F647" s="18"/>
      <c r="G647" s="18"/>
      <c r="H647" s="323">
        <v>18624</v>
      </c>
      <c r="I647" s="162"/>
      <c r="J647" s="323">
        <v>24689</v>
      </c>
      <c r="K647" s="386"/>
      <c r="L647" s="284"/>
    </row>
    <row r="648" spans="2:12" x14ac:dyDescent="0.25">
      <c r="B648" s="322"/>
      <c r="C648" s="18"/>
      <c r="D648" s="18"/>
      <c r="E648" s="287" t="s">
        <v>9</v>
      </c>
      <c r="F648" s="287"/>
      <c r="G648" s="18"/>
      <c r="H648" s="323"/>
      <c r="I648" s="162"/>
      <c r="J648" s="323"/>
      <c r="K648" s="386"/>
      <c r="L648" s="284"/>
    </row>
    <row r="649" spans="2:12" x14ac:dyDescent="0.25">
      <c r="B649" s="322"/>
      <c r="C649" s="18"/>
      <c r="D649" s="18"/>
      <c r="E649" s="287" t="s">
        <v>9</v>
      </c>
      <c r="F649" s="287"/>
      <c r="G649" s="18"/>
      <c r="H649" s="323"/>
      <c r="I649" s="162"/>
      <c r="J649" s="323"/>
      <c r="K649" s="386"/>
      <c r="L649" s="284"/>
    </row>
    <row r="650" spans="2:12" x14ac:dyDescent="0.25">
      <c r="B650" s="322"/>
      <c r="C650" s="18"/>
      <c r="D650" s="18"/>
      <c r="E650" s="287" t="s">
        <v>9</v>
      </c>
      <c r="F650" s="287"/>
      <c r="G650" s="18"/>
      <c r="H650" s="323"/>
      <c r="I650" s="162"/>
      <c r="J650" s="323"/>
      <c r="K650" s="386"/>
      <c r="L650" s="284"/>
    </row>
    <row r="651" spans="2:12" x14ac:dyDescent="0.25">
      <c r="B651" s="322"/>
      <c r="C651" s="18"/>
      <c r="D651" s="18"/>
      <c r="E651" s="287" t="s">
        <v>9</v>
      </c>
      <c r="F651" s="287"/>
      <c r="G651" s="18"/>
      <c r="H651" s="323"/>
      <c r="I651" s="162"/>
      <c r="J651" s="323"/>
      <c r="K651" s="386"/>
      <c r="L651" s="284"/>
    </row>
    <row r="652" spans="2:12" x14ac:dyDescent="0.25">
      <c r="B652" s="322"/>
      <c r="C652" s="18"/>
      <c r="D652" s="18"/>
      <c r="E652" s="287" t="s">
        <v>9</v>
      </c>
      <c r="F652" s="287"/>
      <c r="G652" s="18"/>
      <c r="H652" s="323"/>
      <c r="I652" s="162"/>
      <c r="J652" s="323"/>
      <c r="K652" s="386"/>
      <c r="L652" s="284"/>
    </row>
    <row r="653" spans="2:12" x14ac:dyDescent="0.25">
      <c r="B653" s="322"/>
      <c r="C653" s="18"/>
      <c r="D653" s="18"/>
      <c r="E653" s="18"/>
      <c r="F653" s="18"/>
      <c r="G653" s="18"/>
      <c r="H653" s="339">
        <f>SUM(H643:H652)</f>
        <v>21608</v>
      </c>
      <c r="I653" s="162"/>
      <c r="J653" s="339">
        <f>SUM(J643:J652)</f>
        <v>25888</v>
      </c>
      <c r="K653" s="231"/>
      <c r="L653" s="18"/>
    </row>
    <row r="654" spans="2:12" x14ac:dyDescent="0.25">
      <c r="B654" s="322"/>
      <c r="C654" s="18"/>
      <c r="D654" s="360"/>
      <c r="E654" s="18"/>
      <c r="F654" s="18"/>
      <c r="G654" s="18"/>
      <c r="H654" s="350"/>
      <c r="I654" s="162"/>
      <c r="J654" s="350"/>
      <c r="K654" s="231"/>
      <c r="L654" s="18"/>
    </row>
    <row r="655" spans="2:12" x14ac:dyDescent="0.25">
      <c r="B655" s="322"/>
      <c r="C655" s="18"/>
      <c r="D655" s="18" t="s">
        <v>639</v>
      </c>
      <c r="E655" s="18"/>
      <c r="F655" s="18"/>
      <c r="G655" s="345"/>
      <c r="H655" s="350"/>
      <c r="I655" s="350"/>
      <c r="J655" s="350"/>
      <c r="K655" s="231"/>
      <c r="L655" s="18"/>
    </row>
    <row r="656" spans="2:12" x14ac:dyDescent="0.25">
      <c r="B656" s="322"/>
      <c r="D656" s="752" t="s">
        <v>894</v>
      </c>
      <c r="E656" s="753"/>
      <c r="F656" s="753"/>
      <c r="G656" s="753"/>
      <c r="H656" s="753"/>
      <c r="I656" s="753"/>
      <c r="J656" s="754"/>
      <c r="K656" s="262"/>
    </row>
    <row r="657" spans="2:11" x14ac:dyDescent="0.25">
      <c r="B657" s="322"/>
      <c r="D657" s="755"/>
      <c r="E657" s="756"/>
      <c r="F657" s="756"/>
      <c r="G657" s="756"/>
      <c r="H657" s="756"/>
      <c r="I657" s="756"/>
      <c r="J657" s="757"/>
      <c r="K657" s="262"/>
    </row>
    <row r="658" spans="2:11" x14ac:dyDescent="0.25">
      <c r="B658" s="322"/>
      <c r="D658" s="755"/>
      <c r="E658" s="756"/>
      <c r="F658" s="756"/>
      <c r="G658" s="756"/>
      <c r="H658" s="756"/>
      <c r="I658" s="756"/>
      <c r="J658" s="757"/>
      <c r="K658" s="262"/>
    </row>
    <row r="659" spans="2:11" x14ac:dyDescent="0.25">
      <c r="B659" s="322"/>
      <c r="D659" s="755"/>
      <c r="E659" s="756"/>
      <c r="F659" s="756"/>
      <c r="G659" s="756"/>
      <c r="H659" s="756"/>
      <c r="I659" s="756"/>
      <c r="J659" s="757"/>
      <c r="K659" s="262"/>
    </row>
    <row r="660" spans="2:11" x14ac:dyDescent="0.25">
      <c r="B660" s="322"/>
      <c r="D660" s="755"/>
      <c r="E660" s="756"/>
      <c r="F660" s="756"/>
      <c r="G660" s="756"/>
      <c r="H660" s="756"/>
      <c r="I660" s="756"/>
      <c r="J660" s="757"/>
      <c r="K660" s="262"/>
    </row>
    <row r="661" spans="2:11" x14ac:dyDescent="0.25">
      <c r="B661" s="261"/>
      <c r="D661" s="755"/>
      <c r="E661" s="756"/>
      <c r="F661" s="756"/>
      <c r="G661" s="756"/>
      <c r="H661" s="756"/>
      <c r="I661" s="756"/>
      <c r="J661" s="757"/>
      <c r="K661" s="262"/>
    </row>
    <row r="662" spans="2:11" x14ac:dyDescent="0.25">
      <c r="B662" s="261"/>
      <c r="D662" s="755"/>
      <c r="E662" s="756"/>
      <c r="F662" s="756"/>
      <c r="G662" s="756"/>
      <c r="H662" s="756"/>
      <c r="I662" s="756"/>
      <c r="J662" s="757"/>
      <c r="K662" s="262"/>
    </row>
    <row r="663" spans="2:11" x14ac:dyDescent="0.25">
      <c r="B663" s="261"/>
      <c r="D663" s="755"/>
      <c r="E663" s="756"/>
      <c r="F663" s="756"/>
      <c r="G663" s="756"/>
      <c r="H663" s="756"/>
      <c r="I663" s="756"/>
      <c r="J663" s="757"/>
      <c r="K663" s="262"/>
    </row>
    <row r="664" spans="2:11" x14ac:dyDescent="0.25">
      <c r="B664" s="261"/>
      <c r="D664" s="758"/>
      <c r="E664" s="759"/>
      <c r="F664" s="759"/>
      <c r="G664" s="759"/>
      <c r="H664" s="759"/>
      <c r="I664" s="759"/>
      <c r="J664" s="760"/>
      <c r="K664" s="262"/>
    </row>
    <row r="665" spans="2:11" ht="16.5" thickBot="1" x14ac:dyDescent="0.3">
      <c r="B665" s="265"/>
      <c r="C665" s="266"/>
      <c r="D665" s="266"/>
      <c r="E665" s="266"/>
      <c r="F665" s="266"/>
      <c r="G665" s="266"/>
      <c r="H665" s="352"/>
      <c r="I665" s="352"/>
      <c r="J665" s="352"/>
      <c r="K665" s="268"/>
    </row>
    <row r="666" spans="2:11" x14ac:dyDescent="0.25">
      <c r="E666" s="82"/>
      <c r="F666" s="82"/>
      <c r="G666" s="82"/>
    </row>
    <row r="667" spans="2:11" x14ac:dyDescent="0.25">
      <c r="E667" s="82"/>
      <c r="F667" s="82"/>
      <c r="G667" s="82"/>
    </row>
    <row r="668" spans="2:11" x14ac:dyDescent="0.25">
      <c r="E668" s="82"/>
      <c r="F668" s="82"/>
      <c r="G668" s="82"/>
    </row>
    <row r="669" spans="2:11" x14ac:dyDescent="0.25">
      <c r="E669" s="82"/>
      <c r="F669" s="82"/>
      <c r="G669" s="82"/>
    </row>
    <row r="670" spans="2:11" x14ac:dyDescent="0.25">
      <c r="E670" s="82"/>
      <c r="F670" s="82"/>
      <c r="G670" s="82"/>
    </row>
    <row r="671" spans="2:11" x14ac:dyDescent="0.25">
      <c r="E671" s="82"/>
      <c r="F671" s="82"/>
      <c r="G671" s="82"/>
    </row>
    <row r="672" spans="2:11" x14ac:dyDescent="0.25">
      <c r="E672" s="82"/>
      <c r="F672" s="82"/>
      <c r="G672" s="82"/>
    </row>
    <row r="673" spans="5:7" x14ac:dyDescent="0.25">
      <c r="E673" s="82"/>
      <c r="F673" s="82"/>
      <c r="G673" s="82"/>
    </row>
    <row r="674" spans="5:7" x14ac:dyDescent="0.25">
      <c r="E674" s="82"/>
      <c r="F674" s="82"/>
      <c r="G674" s="82"/>
    </row>
    <row r="675" spans="5:7" x14ac:dyDescent="0.25">
      <c r="E675" s="82"/>
      <c r="F675" s="82"/>
      <c r="G675" s="82"/>
    </row>
    <row r="676" spans="5:7" x14ac:dyDescent="0.25">
      <c r="E676" s="82"/>
      <c r="F676" s="82"/>
      <c r="G676" s="82"/>
    </row>
  </sheetData>
  <sheetProtection algorithmName="SHA-512" hashValue="94vubRswG6CbdqWkcW4GEWZu2zi2sCKvZxK+g1WHz8UKkSkZygzQhXHvQOSNtrF9zuWsg++/ZFsZ8TuyCuhVvw==" saltValue="1C7eaYhzmWY3IlK40kvytg==" spinCount="100000" sheet="1" objects="1" scenarios="1"/>
  <mergeCells count="49">
    <mergeCell ref="H146:J146"/>
    <mergeCell ref="H136:J136"/>
    <mergeCell ref="H12:J12"/>
    <mergeCell ref="H20:J20"/>
    <mergeCell ref="H32:J32"/>
    <mergeCell ref="H44:J44"/>
    <mergeCell ref="H56:J56"/>
    <mergeCell ref="H66:J66"/>
    <mergeCell ref="H79:J79"/>
    <mergeCell ref="H91:J91"/>
    <mergeCell ref="H103:J103"/>
    <mergeCell ref="H115:J115"/>
    <mergeCell ref="D126:J130"/>
    <mergeCell ref="H158:J158"/>
    <mergeCell ref="D170:J175"/>
    <mergeCell ref="H181:J181"/>
    <mergeCell ref="H193:J193"/>
    <mergeCell ref="H205:J205"/>
    <mergeCell ref="H386:J386"/>
    <mergeCell ref="H217:J217"/>
    <mergeCell ref="H230:J230"/>
    <mergeCell ref="D242:J246"/>
    <mergeCell ref="H252:J252"/>
    <mergeCell ref="H272:J272"/>
    <mergeCell ref="H304:J304"/>
    <mergeCell ref="D313:J315"/>
    <mergeCell ref="H284:J284"/>
    <mergeCell ref="D296:J300"/>
    <mergeCell ref="H319:J319"/>
    <mergeCell ref="H334:J334"/>
    <mergeCell ref="D656:J664"/>
    <mergeCell ref="H568:J568"/>
    <mergeCell ref="H577:J577"/>
    <mergeCell ref="H589:J589"/>
    <mergeCell ref="H606:J606"/>
    <mergeCell ref="D636:F636"/>
    <mergeCell ref="H641:J641"/>
    <mergeCell ref="D604:G605"/>
    <mergeCell ref="H559:J559"/>
    <mergeCell ref="H438:J438"/>
    <mergeCell ref="H445:J445"/>
    <mergeCell ref="H455:J455"/>
    <mergeCell ref="H469:J469"/>
    <mergeCell ref="H491:J491"/>
    <mergeCell ref="H515:J515"/>
    <mergeCell ref="H540:J540"/>
    <mergeCell ref="D556:J556"/>
    <mergeCell ref="D557:J557"/>
    <mergeCell ref="D471:F471"/>
  </mergeCells>
  <hyperlinks>
    <hyperlink ref="A6" location="'תוכן עניינים'!A1" display="תוכן עניינים" xr:uid="{00000000-0004-0000-0E00-000000000000}"/>
  </hyperlinks>
  <pageMargins left="0.70866141732283472" right="0.70866141732283472" top="0.74803149606299213" bottom="0.74803149606299213" header="0.31496062992125984" footer="0.31496062992125984"/>
  <pageSetup paperSize="9" scale="1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6"/>
  <dimension ref="A1:L114"/>
  <sheetViews>
    <sheetView showGridLines="0" rightToLeft="1" topLeftCell="A68" zoomScale="85" zoomScaleNormal="85" workbookViewId="0">
      <selection activeCell="B97" sqref="B97:J109"/>
    </sheetView>
  </sheetViews>
  <sheetFormatPr defaultColWidth="8" defaultRowHeight="15" x14ac:dyDescent="0.25"/>
  <cols>
    <col min="1" max="1" width="8" style="218"/>
    <col min="2" max="2" width="10.5" style="218" customWidth="1"/>
    <col min="3" max="3" width="6.25" style="218" customWidth="1"/>
    <col min="4" max="4" width="24.25" style="218" customWidth="1"/>
    <col min="5" max="5" width="4.75" style="218" customWidth="1"/>
    <col min="6" max="6" width="9.75" style="218" customWidth="1"/>
    <col min="7" max="7" width="15.125" style="218" customWidth="1"/>
    <col min="8" max="8" width="16.75" style="218" customWidth="1"/>
    <col min="9" max="9" width="1.5" style="218" customWidth="1"/>
    <col min="10" max="10" width="12.25" style="218" customWidth="1"/>
    <col min="11" max="11" width="1.25" style="218" customWidth="1"/>
    <col min="12" max="16384" width="8" style="218"/>
  </cols>
  <sheetData>
    <row r="1" spans="1:12" s="157" customFormat="1" ht="28.5" customHeight="1" x14ac:dyDescent="0.5">
      <c r="A1" s="11" t="s">
        <v>776</v>
      </c>
      <c r="B1" s="5"/>
      <c r="C1" s="12">
        <f>הנחיות!C1</f>
        <v>2024</v>
      </c>
      <c r="D1" s="5"/>
      <c r="E1" s="5"/>
      <c r="F1" s="5"/>
      <c r="G1" s="5"/>
      <c r="H1" s="70"/>
      <c r="I1" s="73"/>
      <c r="J1" s="73"/>
      <c r="K1" s="8"/>
      <c r="L1" s="8"/>
    </row>
    <row r="2" spans="1:12" s="157" customFormat="1" ht="23.25" customHeight="1" x14ac:dyDescent="0.5">
      <c r="A2" s="13" t="s">
        <v>772</v>
      </c>
      <c r="B2" s="6"/>
      <c r="C2" s="15" t="s">
        <v>814</v>
      </c>
      <c r="D2" s="6"/>
      <c r="E2" s="6"/>
      <c r="F2" s="6"/>
      <c r="G2" s="6"/>
      <c r="H2" s="72"/>
      <c r="I2" s="73"/>
      <c r="J2" s="73"/>
      <c r="K2" s="8"/>
      <c r="L2" s="8"/>
    </row>
    <row r="3" spans="1:12" s="157" customFormat="1" ht="20.25" customHeight="1" x14ac:dyDescent="0.5">
      <c r="A3" s="7"/>
      <c r="B3" s="6"/>
      <c r="C3" s="6"/>
      <c r="D3" s="6"/>
      <c r="E3" s="6"/>
      <c r="F3" s="6"/>
      <c r="G3" s="6"/>
      <c r="H3" s="72"/>
      <c r="I3" s="73"/>
      <c r="J3" s="73"/>
      <c r="K3" s="8"/>
      <c r="L3" s="8"/>
    </row>
    <row r="4" spans="1:12" s="157" customFormat="1" ht="31.5" x14ac:dyDescent="0.5">
      <c r="A4" s="58" t="s">
        <v>773</v>
      </c>
      <c r="B4" s="59"/>
      <c r="C4" s="65" t="str">
        <f>IF('פרטי התאגיד'!$G$9=0, "", 'פרטי התאגיד'!$G$9)</f>
        <v>פלגי מוצקין בע"מ</v>
      </c>
      <c r="D4" s="60"/>
      <c r="E4" s="60"/>
      <c r="F4" s="60"/>
      <c r="G4" s="60"/>
      <c r="H4" s="132"/>
      <c r="I4" s="148"/>
      <c r="J4" s="133"/>
      <c r="K4" s="8"/>
      <c r="L4" s="8"/>
    </row>
    <row r="5" spans="1:12" s="157" customFormat="1" ht="16.5" customHeight="1" x14ac:dyDescent="0.25">
      <c r="A5" s="8"/>
      <c r="B5" s="8"/>
      <c r="C5" s="8"/>
      <c r="D5" s="8"/>
      <c r="E5" s="8"/>
      <c r="F5" s="8"/>
      <c r="G5" s="8"/>
      <c r="H5" s="8"/>
      <c r="I5" s="8"/>
      <c r="J5" s="8"/>
      <c r="K5" s="8"/>
      <c r="L5" s="8"/>
    </row>
    <row r="6" spans="1:12" s="157" customFormat="1" ht="17.25" customHeight="1" x14ac:dyDescent="0.3">
      <c r="A6" s="30" t="s">
        <v>1</v>
      </c>
      <c r="B6" s="210"/>
      <c r="D6" s="211"/>
      <c r="E6" s="211"/>
      <c r="F6" s="211"/>
      <c r="G6" s="212"/>
      <c r="H6" s="212"/>
      <c r="I6" s="212"/>
      <c r="J6" s="212"/>
    </row>
    <row r="7" spans="1:12" s="157" customFormat="1" ht="17.25" customHeight="1" x14ac:dyDescent="0.2">
      <c r="A7" s="77"/>
      <c r="B7" s="213"/>
      <c r="D7" s="211"/>
      <c r="E7" s="211"/>
      <c r="F7" s="211"/>
      <c r="G7" s="212"/>
      <c r="H7" s="212"/>
      <c r="I7" s="212"/>
      <c r="J7" s="212"/>
    </row>
    <row r="8" spans="1:12" s="157" customFormat="1" ht="21" x14ac:dyDescent="0.35">
      <c r="B8" s="221" t="s">
        <v>640</v>
      </c>
      <c r="C8" s="221" t="s">
        <v>207</v>
      </c>
      <c r="D8" s="221" t="s">
        <v>641</v>
      </c>
      <c r="E8" s="220"/>
      <c r="F8" s="220"/>
      <c r="G8" s="18"/>
      <c r="H8" s="18"/>
      <c r="I8" s="212"/>
      <c r="J8" s="212"/>
    </row>
    <row r="9" spans="1:12" s="157" customFormat="1" ht="10.5" customHeight="1" x14ac:dyDescent="0.4">
      <c r="B9" s="214"/>
      <c r="C9" s="82"/>
      <c r="D9" s="215"/>
      <c r="E9" s="18"/>
      <c r="F9" s="18"/>
      <c r="G9" s="18"/>
      <c r="H9" s="18"/>
      <c r="I9" s="212"/>
      <c r="J9" s="212"/>
    </row>
    <row r="10" spans="1:12" s="157" customFormat="1" ht="18.75" x14ac:dyDescent="0.3">
      <c r="B10" s="222" t="s">
        <v>642</v>
      </c>
      <c r="D10" s="211"/>
      <c r="E10" s="211"/>
      <c r="F10" s="211"/>
      <c r="G10" s="212"/>
      <c r="H10" s="212"/>
      <c r="I10" s="212"/>
      <c r="J10" s="212"/>
    </row>
    <row r="11" spans="1:12" s="157" customFormat="1" ht="13.5" customHeight="1" x14ac:dyDescent="0.2">
      <c r="B11" s="819" t="s">
        <v>892</v>
      </c>
      <c r="C11" s="820"/>
      <c r="D11" s="820"/>
      <c r="E11" s="820"/>
      <c r="F11" s="820"/>
      <c r="G11" s="820"/>
      <c r="H11" s="820"/>
      <c r="I11" s="820"/>
      <c r="J11" s="821"/>
    </row>
    <row r="12" spans="1:12" s="157" customFormat="1" ht="13.5" customHeight="1" x14ac:dyDescent="0.2">
      <c r="B12" s="822"/>
      <c r="C12" s="756"/>
      <c r="D12" s="756"/>
      <c r="E12" s="756"/>
      <c r="F12" s="756"/>
      <c r="G12" s="756"/>
      <c r="H12" s="756"/>
      <c r="I12" s="756"/>
      <c r="J12" s="823"/>
    </row>
    <row r="13" spans="1:12" s="157" customFormat="1" ht="13.5" customHeight="1" x14ac:dyDescent="0.2">
      <c r="B13" s="822"/>
      <c r="C13" s="756"/>
      <c r="D13" s="756"/>
      <c r="E13" s="756"/>
      <c r="F13" s="756"/>
      <c r="G13" s="756"/>
      <c r="H13" s="756"/>
      <c r="I13" s="756"/>
      <c r="J13" s="823"/>
    </row>
    <row r="14" spans="1:12" s="157" customFormat="1" ht="13.5" customHeight="1" x14ac:dyDescent="0.2">
      <c r="B14" s="822"/>
      <c r="C14" s="756"/>
      <c r="D14" s="756"/>
      <c r="E14" s="756"/>
      <c r="F14" s="756"/>
      <c r="G14" s="756"/>
      <c r="H14" s="756"/>
      <c r="I14" s="756"/>
      <c r="J14" s="823"/>
    </row>
    <row r="15" spans="1:12" s="157" customFormat="1" ht="13.5" customHeight="1" x14ac:dyDescent="0.2">
      <c r="B15" s="822"/>
      <c r="C15" s="756"/>
      <c r="D15" s="756"/>
      <c r="E15" s="756"/>
      <c r="F15" s="756"/>
      <c r="G15" s="756"/>
      <c r="H15" s="756"/>
      <c r="I15" s="756"/>
      <c r="J15" s="823"/>
    </row>
    <row r="16" spans="1:12" s="157" customFormat="1" ht="13.5" customHeight="1" x14ac:dyDescent="0.2">
      <c r="B16" s="822"/>
      <c r="C16" s="756"/>
      <c r="D16" s="756"/>
      <c r="E16" s="756"/>
      <c r="F16" s="756"/>
      <c r="G16" s="756"/>
      <c r="H16" s="756"/>
      <c r="I16" s="756"/>
      <c r="J16" s="823"/>
    </row>
    <row r="17" spans="2:10" s="157" customFormat="1" ht="13.5" customHeight="1" x14ac:dyDescent="0.2">
      <c r="B17" s="822"/>
      <c r="C17" s="756"/>
      <c r="D17" s="756"/>
      <c r="E17" s="756"/>
      <c r="F17" s="756"/>
      <c r="G17" s="756"/>
      <c r="H17" s="756"/>
      <c r="I17" s="756"/>
      <c r="J17" s="823"/>
    </row>
    <row r="18" spans="2:10" s="157" customFormat="1" ht="13.5" customHeight="1" x14ac:dyDescent="0.2">
      <c r="B18" s="822"/>
      <c r="C18" s="756"/>
      <c r="D18" s="756"/>
      <c r="E18" s="756"/>
      <c r="F18" s="756"/>
      <c r="G18" s="756"/>
      <c r="H18" s="756"/>
      <c r="I18" s="756"/>
      <c r="J18" s="823"/>
    </row>
    <row r="19" spans="2:10" s="157" customFormat="1" ht="13.5" customHeight="1" x14ac:dyDescent="0.2">
      <c r="B19" s="822"/>
      <c r="C19" s="756"/>
      <c r="D19" s="756"/>
      <c r="E19" s="756"/>
      <c r="F19" s="756"/>
      <c r="G19" s="756"/>
      <c r="H19" s="756"/>
      <c r="I19" s="756"/>
      <c r="J19" s="823"/>
    </row>
    <row r="20" spans="2:10" s="157" customFormat="1" ht="13.5" customHeight="1" x14ac:dyDescent="0.2">
      <c r="B20" s="822"/>
      <c r="C20" s="756"/>
      <c r="D20" s="756"/>
      <c r="E20" s="756"/>
      <c r="F20" s="756"/>
      <c r="G20" s="756"/>
      <c r="H20" s="756"/>
      <c r="I20" s="756"/>
      <c r="J20" s="823"/>
    </row>
    <row r="21" spans="2:10" s="157" customFormat="1" ht="13.5" customHeight="1" x14ac:dyDescent="0.2">
      <c r="B21" s="822"/>
      <c r="C21" s="756"/>
      <c r="D21" s="756"/>
      <c r="E21" s="756"/>
      <c r="F21" s="756"/>
      <c r="G21" s="756"/>
      <c r="H21" s="756"/>
      <c r="I21" s="756"/>
      <c r="J21" s="823"/>
    </row>
    <row r="22" spans="2:10" s="157" customFormat="1" ht="13.5" customHeight="1" x14ac:dyDescent="0.2">
      <c r="B22" s="822"/>
      <c r="C22" s="756"/>
      <c r="D22" s="756"/>
      <c r="E22" s="756"/>
      <c r="F22" s="756"/>
      <c r="G22" s="756"/>
      <c r="H22" s="756"/>
      <c r="I22" s="756"/>
      <c r="J22" s="823"/>
    </row>
    <row r="23" spans="2:10" s="157" customFormat="1" ht="13.5" customHeight="1" x14ac:dyDescent="0.2">
      <c r="B23" s="822"/>
      <c r="C23" s="756"/>
      <c r="D23" s="756"/>
      <c r="E23" s="756"/>
      <c r="F23" s="756"/>
      <c r="G23" s="756"/>
      <c r="H23" s="756"/>
      <c r="I23" s="756"/>
      <c r="J23" s="823"/>
    </row>
    <row r="24" spans="2:10" s="157" customFormat="1" ht="13.5" customHeight="1" x14ac:dyDescent="0.2">
      <c r="B24" s="822"/>
      <c r="C24" s="756"/>
      <c r="D24" s="756"/>
      <c r="E24" s="756"/>
      <c r="F24" s="756"/>
      <c r="G24" s="756"/>
      <c r="H24" s="756"/>
      <c r="I24" s="756"/>
      <c r="J24" s="823"/>
    </row>
    <row r="25" spans="2:10" s="157" customFormat="1" ht="13.5" customHeight="1" x14ac:dyDescent="0.2">
      <c r="B25" s="822"/>
      <c r="C25" s="756"/>
      <c r="D25" s="756"/>
      <c r="E25" s="756"/>
      <c r="F25" s="756"/>
      <c r="G25" s="756"/>
      <c r="H25" s="756"/>
      <c r="I25" s="756"/>
      <c r="J25" s="823"/>
    </row>
    <row r="26" spans="2:10" s="157" customFormat="1" ht="13.5" customHeight="1" x14ac:dyDescent="0.2">
      <c r="B26" s="822"/>
      <c r="C26" s="756"/>
      <c r="D26" s="756"/>
      <c r="E26" s="756"/>
      <c r="F26" s="756"/>
      <c r="G26" s="756"/>
      <c r="H26" s="756"/>
      <c r="I26" s="756"/>
      <c r="J26" s="823"/>
    </row>
    <row r="27" spans="2:10" s="157" customFormat="1" ht="13.5" customHeight="1" x14ac:dyDescent="0.2">
      <c r="B27" s="822"/>
      <c r="C27" s="756"/>
      <c r="D27" s="756"/>
      <c r="E27" s="756"/>
      <c r="F27" s="756"/>
      <c r="G27" s="756"/>
      <c r="H27" s="756"/>
      <c r="I27" s="756"/>
      <c r="J27" s="823"/>
    </row>
    <row r="28" spans="2:10" s="157" customFormat="1" ht="13.5" customHeight="1" x14ac:dyDescent="0.2">
      <c r="B28" s="822"/>
      <c r="C28" s="756"/>
      <c r="D28" s="756"/>
      <c r="E28" s="756"/>
      <c r="F28" s="756"/>
      <c r="G28" s="756"/>
      <c r="H28" s="756"/>
      <c r="I28" s="756"/>
      <c r="J28" s="823"/>
    </row>
    <row r="29" spans="2:10" s="157" customFormat="1" ht="13.5" customHeight="1" x14ac:dyDescent="0.2">
      <c r="B29" s="822"/>
      <c r="C29" s="756"/>
      <c r="D29" s="756"/>
      <c r="E29" s="756"/>
      <c r="F29" s="756"/>
      <c r="G29" s="756"/>
      <c r="H29" s="756"/>
      <c r="I29" s="756"/>
      <c r="J29" s="823"/>
    </row>
    <row r="30" spans="2:10" s="157" customFormat="1" ht="13.5" customHeight="1" x14ac:dyDescent="0.2">
      <c r="B30" s="822"/>
      <c r="C30" s="756"/>
      <c r="D30" s="756"/>
      <c r="E30" s="756"/>
      <c r="F30" s="756"/>
      <c r="G30" s="756"/>
      <c r="H30" s="756"/>
      <c r="I30" s="756"/>
      <c r="J30" s="823"/>
    </row>
    <row r="31" spans="2:10" s="157" customFormat="1" ht="13.5" customHeight="1" x14ac:dyDescent="0.2">
      <c r="B31" s="822"/>
      <c r="C31" s="756"/>
      <c r="D31" s="756"/>
      <c r="E31" s="756"/>
      <c r="F31" s="756"/>
      <c r="G31" s="756"/>
      <c r="H31" s="756"/>
      <c r="I31" s="756"/>
      <c r="J31" s="823"/>
    </row>
    <row r="32" spans="2:10" s="157" customFormat="1" ht="13.5" customHeight="1" x14ac:dyDescent="0.2">
      <c r="B32" s="822"/>
      <c r="C32" s="756"/>
      <c r="D32" s="756"/>
      <c r="E32" s="756"/>
      <c r="F32" s="756"/>
      <c r="G32" s="756"/>
      <c r="H32" s="756"/>
      <c r="I32" s="756"/>
      <c r="J32" s="823"/>
    </row>
    <row r="33" spans="2:10" s="157" customFormat="1" ht="13.5" customHeight="1" x14ac:dyDescent="0.2">
      <c r="B33" s="822"/>
      <c r="C33" s="756"/>
      <c r="D33" s="756"/>
      <c r="E33" s="756"/>
      <c r="F33" s="756"/>
      <c r="G33" s="756"/>
      <c r="H33" s="756"/>
      <c r="I33" s="756"/>
      <c r="J33" s="823"/>
    </row>
    <row r="34" spans="2:10" s="157" customFormat="1" ht="13.5" customHeight="1" x14ac:dyDescent="0.2">
      <c r="B34" s="822"/>
      <c r="C34" s="756"/>
      <c r="D34" s="756"/>
      <c r="E34" s="756"/>
      <c r="F34" s="756"/>
      <c r="G34" s="756"/>
      <c r="H34" s="756"/>
      <c r="I34" s="756"/>
      <c r="J34" s="823"/>
    </row>
    <row r="35" spans="2:10" s="157" customFormat="1" ht="13.5" customHeight="1" x14ac:dyDescent="0.2">
      <c r="B35" s="822"/>
      <c r="C35" s="756"/>
      <c r="D35" s="756"/>
      <c r="E35" s="756"/>
      <c r="F35" s="756"/>
      <c r="G35" s="756"/>
      <c r="H35" s="756"/>
      <c r="I35" s="756"/>
      <c r="J35" s="823"/>
    </row>
    <row r="36" spans="2:10" s="157" customFormat="1" ht="15.75" customHeight="1" x14ac:dyDescent="0.2">
      <c r="B36" s="822"/>
      <c r="C36" s="756"/>
      <c r="D36" s="756"/>
      <c r="E36" s="756"/>
      <c r="F36" s="756"/>
      <c r="G36" s="756"/>
      <c r="H36" s="756"/>
      <c r="I36" s="756"/>
      <c r="J36" s="823"/>
    </row>
    <row r="37" spans="2:10" s="157" customFormat="1" ht="15.75" customHeight="1" x14ac:dyDescent="0.2">
      <c r="B37" s="824"/>
      <c r="C37" s="825"/>
      <c r="D37" s="825"/>
      <c r="E37" s="825"/>
      <c r="F37" s="825"/>
      <c r="G37" s="825"/>
      <c r="H37" s="825"/>
      <c r="I37" s="825"/>
      <c r="J37" s="826"/>
    </row>
    <row r="38" spans="2:10" s="157" customFormat="1" ht="15.75" x14ac:dyDescent="0.2">
      <c r="B38" s="213"/>
      <c r="D38" s="39"/>
      <c r="E38" s="39"/>
      <c r="F38" s="39"/>
      <c r="G38" s="39"/>
      <c r="H38" s="39"/>
      <c r="I38" s="39"/>
      <c r="J38" s="39"/>
    </row>
    <row r="39" spans="2:10" s="157" customFormat="1" ht="18.75" x14ac:dyDescent="0.3">
      <c r="B39" s="222" t="s">
        <v>643</v>
      </c>
      <c r="D39" s="211"/>
      <c r="E39" s="211"/>
      <c r="F39" s="211"/>
      <c r="G39" s="212"/>
      <c r="H39" s="212"/>
      <c r="I39" s="212"/>
      <c r="J39" s="212"/>
    </row>
    <row r="40" spans="2:10" s="157" customFormat="1" ht="15" customHeight="1" x14ac:dyDescent="0.3">
      <c r="B40" s="222" t="s">
        <v>644</v>
      </c>
      <c r="C40" s="212"/>
      <c r="D40" s="216"/>
      <c r="E40" s="217"/>
      <c r="F40" s="217"/>
      <c r="G40" s="217"/>
      <c r="H40" s="217"/>
      <c r="I40" s="217"/>
      <c r="J40" s="217"/>
    </row>
    <row r="41" spans="2:10" s="157" customFormat="1" ht="15.75" customHeight="1" x14ac:dyDescent="0.2">
      <c r="B41" s="819" t="s">
        <v>788</v>
      </c>
      <c r="C41" s="820"/>
      <c r="D41" s="820"/>
      <c r="E41" s="820"/>
      <c r="F41" s="820"/>
      <c r="G41" s="820"/>
      <c r="H41" s="820"/>
      <c r="I41" s="820"/>
      <c r="J41" s="821"/>
    </row>
    <row r="42" spans="2:10" s="157" customFormat="1" ht="15.75" customHeight="1" x14ac:dyDescent="0.2">
      <c r="B42" s="822"/>
      <c r="C42" s="756"/>
      <c r="D42" s="756"/>
      <c r="E42" s="756"/>
      <c r="F42" s="756"/>
      <c r="G42" s="756"/>
      <c r="H42" s="756"/>
      <c r="I42" s="756"/>
      <c r="J42" s="823"/>
    </row>
    <row r="43" spans="2:10" s="157" customFormat="1" ht="15.75" customHeight="1" x14ac:dyDescent="0.2">
      <c r="B43" s="822"/>
      <c r="C43" s="756"/>
      <c r="D43" s="756"/>
      <c r="E43" s="756"/>
      <c r="F43" s="756"/>
      <c r="G43" s="756"/>
      <c r="H43" s="756"/>
      <c r="I43" s="756"/>
      <c r="J43" s="823"/>
    </row>
    <row r="44" spans="2:10" s="157" customFormat="1" ht="15" customHeight="1" x14ac:dyDescent="0.2">
      <c r="B44" s="824"/>
      <c r="C44" s="825"/>
      <c r="D44" s="825"/>
      <c r="E44" s="825"/>
      <c r="F44" s="825"/>
      <c r="G44" s="825"/>
      <c r="H44" s="825"/>
      <c r="I44" s="825"/>
      <c r="J44" s="826"/>
    </row>
    <row r="45" spans="2:10" s="157" customFormat="1" ht="16.5" customHeight="1" x14ac:dyDescent="0.3">
      <c r="B45" s="222" t="s">
        <v>645</v>
      </c>
      <c r="C45" s="212"/>
      <c r="D45" s="39"/>
      <c r="E45" s="217"/>
      <c r="F45" s="217"/>
      <c r="G45" s="217"/>
      <c r="H45" s="217"/>
      <c r="I45" s="217"/>
      <c r="J45" s="217"/>
    </row>
    <row r="46" spans="2:10" s="157" customFormat="1" ht="14.25" customHeight="1" x14ac:dyDescent="0.2">
      <c r="B46" s="774" t="s">
        <v>788</v>
      </c>
      <c r="C46" s="775"/>
      <c r="D46" s="775"/>
      <c r="E46" s="775"/>
      <c r="F46" s="775"/>
      <c r="G46" s="775"/>
      <c r="H46" s="775"/>
      <c r="I46" s="775"/>
      <c r="J46" s="776"/>
    </row>
    <row r="47" spans="2:10" s="157" customFormat="1" ht="15" customHeight="1" x14ac:dyDescent="0.2">
      <c r="B47" s="777"/>
      <c r="C47" s="778"/>
      <c r="D47" s="778"/>
      <c r="E47" s="778"/>
      <c r="F47" s="778"/>
      <c r="G47" s="778"/>
      <c r="H47" s="778"/>
      <c r="I47" s="778"/>
      <c r="J47" s="779"/>
    </row>
    <row r="48" spans="2:10" s="157" customFormat="1" ht="15.75" customHeight="1" x14ac:dyDescent="0.2">
      <c r="B48" s="777"/>
      <c r="C48" s="778"/>
      <c r="D48" s="778"/>
      <c r="E48" s="778"/>
      <c r="F48" s="778"/>
      <c r="G48" s="778"/>
      <c r="H48" s="778"/>
      <c r="I48" s="778"/>
      <c r="J48" s="779"/>
    </row>
    <row r="49" spans="2:10" s="157" customFormat="1" ht="15" customHeight="1" x14ac:dyDescent="0.2">
      <c r="B49" s="777"/>
      <c r="C49" s="778"/>
      <c r="D49" s="778"/>
      <c r="E49" s="778"/>
      <c r="F49" s="778"/>
      <c r="G49" s="778"/>
      <c r="H49" s="778"/>
      <c r="I49" s="778"/>
      <c r="J49" s="779"/>
    </row>
    <row r="50" spans="2:10" s="157" customFormat="1" ht="15.75" customHeight="1" x14ac:dyDescent="0.2">
      <c r="B50" s="827"/>
      <c r="C50" s="828"/>
      <c r="D50" s="828"/>
      <c r="E50" s="828"/>
      <c r="F50" s="828"/>
      <c r="G50" s="828"/>
      <c r="H50" s="828"/>
      <c r="I50" s="828"/>
      <c r="J50" s="829"/>
    </row>
    <row r="51" spans="2:10" s="157" customFormat="1" ht="16.5" customHeight="1" x14ac:dyDescent="0.3">
      <c r="B51" s="222" t="s">
        <v>646</v>
      </c>
      <c r="C51" s="212"/>
      <c r="D51" s="216"/>
      <c r="E51" s="217"/>
      <c r="F51" s="217"/>
      <c r="G51" s="217"/>
      <c r="H51" s="217"/>
      <c r="I51" s="217"/>
      <c r="J51" s="217"/>
    </row>
    <row r="52" spans="2:10" s="157" customFormat="1" ht="15.75" customHeight="1" x14ac:dyDescent="0.2">
      <c r="B52" s="774" t="s">
        <v>788</v>
      </c>
      <c r="C52" s="830"/>
      <c r="D52" s="830"/>
      <c r="E52" s="830"/>
      <c r="F52" s="830"/>
      <c r="G52" s="830"/>
      <c r="H52" s="830"/>
      <c r="I52" s="830"/>
      <c r="J52" s="831"/>
    </row>
    <row r="53" spans="2:10" s="157" customFormat="1" ht="17.25" customHeight="1" x14ac:dyDescent="0.2">
      <c r="B53" s="832"/>
      <c r="C53" s="833"/>
      <c r="D53" s="833"/>
      <c r="E53" s="833"/>
      <c r="F53" s="833"/>
      <c r="G53" s="833"/>
      <c r="H53" s="833"/>
      <c r="I53" s="833"/>
      <c r="J53" s="834"/>
    </row>
    <row r="54" spans="2:10" s="157" customFormat="1" ht="16.5" customHeight="1" x14ac:dyDescent="0.2">
      <c r="B54" s="832"/>
      <c r="C54" s="833"/>
      <c r="D54" s="833"/>
      <c r="E54" s="833"/>
      <c r="F54" s="833"/>
      <c r="G54" s="833"/>
      <c r="H54" s="833"/>
      <c r="I54" s="833"/>
      <c r="J54" s="834"/>
    </row>
    <row r="55" spans="2:10" s="157" customFormat="1" ht="17.25" customHeight="1" x14ac:dyDescent="0.2">
      <c r="B55" s="832"/>
      <c r="C55" s="833"/>
      <c r="D55" s="833"/>
      <c r="E55" s="833"/>
      <c r="F55" s="833"/>
      <c r="G55" s="833"/>
      <c r="H55" s="833"/>
      <c r="I55" s="833"/>
      <c r="J55" s="834"/>
    </row>
    <row r="56" spans="2:10" s="157" customFormat="1" ht="14.25" customHeight="1" x14ac:dyDescent="0.2">
      <c r="B56" s="832"/>
      <c r="C56" s="833"/>
      <c r="D56" s="833"/>
      <c r="E56" s="833"/>
      <c r="F56" s="833"/>
      <c r="G56" s="833"/>
      <c r="H56" s="833"/>
      <c r="I56" s="833"/>
      <c r="J56" s="834"/>
    </row>
    <row r="57" spans="2:10" s="157" customFormat="1" ht="15" customHeight="1" x14ac:dyDescent="0.2">
      <c r="B57" s="835"/>
      <c r="C57" s="836"/>
      <c r="D57" s="836"/>
      <c r="E57" s="836"/>
      <c r="F57" s="836"/>
      <c r="G57" s="836"/>
      <c r="H57" s="836"/>
      <c r="I57" s="836"/>
      <c r="J57" s="837"/>
    </row>
    <row r="58" spans="2:10" s="157" customFormat="1" ht="15.75" customHeight="1" x14ac:dyDescent="0.3">
      <c r="B58" s="222" t="s">
        <v>647</v>
      </c>
      <c r="C58" s="212"/>
      <c r="D58" s="216"/>
      <c r="E58" s="217"/>
      <c r="F58" s="217"/>
      <c r="G58" s="217"/>
      <c r="H58" s="217"/>
      <c r="I58" s="217"/>
      <c r="J58" s="217"/>
    </row>
    <row r="59" spans="2:10" s="157" customFormat="1" ht="15.75" customHeight="1" x14ac:dyDescent="0.2">
      <c r="B59" s="774" t="s">
        <v>788</v>
      </c>
      <c r="C59" s="775"/>
      <c r="D59" s="775"/>
      <c r="E59" s="775"/>
      <c r="F59" s="775"/>
      <c r="G59" s="775"/>
      <c r="H59" s="775"/>
      <c r="I59" s="775"/>
      <c r="J59" s="776"/>
    </row>
    <row r="60" spans="2:10" s="157" customFormat="1" ht="16.5" customHeight="1" x14ac:dyDescent="0.2">
      <c r="B60" s="777"/>
      <c r="C60" s="778"/>
      <c r="D60" s="778"/>
      <c r="E60" s="778"/>
      <c r="F60" s="778"/>
      <c r="G60" s="778"/>
      <c r="H60" s="778"/>
      <c r="I60" s="778"/>
      <c r="J60" s="779"/>
    </row>
    <row r="61" spans="2:10" s="157" customFormat="1" ht="15" customHeight="1" x14ac:dyDescent="0.2">
      <c r="B61" s="777"/>
      <c r="C61" s="778"/>
      <c r="D61" s="778"/>
      <c r="E61" s="778"/>
      <c r="F61" s="778"/>
      <c r="G61" s="778"/>
      <c r="H61" s="778"/>
      <c r="I61" s="778"/>
      <c r="J61" s="779"/>
    </row>
    <row r="62" spans="2:10" s="157" customFormat="1" ht="15" customHeight="1" x14ac:dyDescent="0.2">
      <c r="B62" s="777"/>
      <c r="C62" s="778"/>
      <c r="D62" s="778"/>
      <c r="E62" s="778"/>
      <c r="F62" s="778"/>
      <c r="G62" s="778"/>
      <c r="H62" s="778"/>
      <c r="I62" s="778"/>
      <c r="J62" s="779"/>
    </row>
    <row r="63" spans="2:10" s="157" customFormat="1" ht="16.5" customHeight="1" x14ac:dyDescent="0.2">
      <c r="B63" s="777"/>
      <c r="C63" s="778"/>
      <c r="D63" s="778"/>
      <c r="E63" s="778"/>
      <c r="F63" s="778"/>
      <c r="G63" s="778"/>
      <c r="H63" s="778"/>
      <c r="I63" s="778"/>
      <c r="J63" s="779"/>
    </row>
    <row r="64" spans="2:10" s="157" customFormat="1" ht="15.75" customHeight="1" x14ac:dyDescent="0.2">
      <c r="B64" s="827"/>
      <c r="C64" s="828"/>
      <c r="D64" s="828"/>
      <c r="E64" s="828"/>
      <c r="F64" s="828"/>
      <c r="G64" s="828"/>
      <c r="H64" s="828"/>
      <c r="I64" s="828"/>
      <c r="J64" s="829"/>
    </row>
    <row r="65" spans="2:10" s="157" customFormat="1" ht="15.75" customHeight="1" x14ac:dyDescent="0.2">
      <c r="B65" s="213"/>
      <c r="D65" s="211"/>
      <c r="E65" s="211"/>
      <c r="F65" s="211"/>
      <c r="G65" s="212"/>
      <c r="H65" s="212"/>
      <c r="I65" s="212"/>
      <c r="J65" s="212"/>
    </row>
    <row r="66" spans="2:10" s="157" customFormat="1" ht="18.75" x14ac:dyDescent="0.3">
      <c r="B66" s="238" t="s">
        <v>648</v>
      </c>
      <c r="C66" s="238" t="s">
        <v>207</v>
      </c>
      <c r="D66" s="238" t="s">
        <v>649</v>
      </c>
      <c r="E66" s="220"/>
      <c r="F66" s="220"/>
      <c r="G66" s="18"/>
      <c r="H66" s="212"/>
      <c r="I66" s="212"/>
      <c r="J66" s="212"/>
    </row>
    <row r="67" spans="2:10" s="157" customFormat="1" ht="12.75" x14ac:dyDescent="0.2">
      <c r="B67" s="819" t="s">
        <v>864</v>
      </c>
      <c r="C67" s="830"/>
      <c r="D67" s="830"/>
      <c r="E67" s="830"/>
      <c r="F67" s="830"/>
      <c r="G67" s="830"/>
      <c r="H67" s="830"/>
      <c r="I67" s="830"/>
      <c r="J67" s="831"/>
    </row>
    <row r="68" spans="2:10" s="157" customFormat="1" ht="12.75" x14ac:dyDescent="0.2">
      <c r="B68" s="832"/>
      <c r="C68" s="833"/>
      <c r="D68" s="833"/>
      <c r="E68" s="833"/>
      <c r="F68" s="833"/>
      <c r="G68" s="833"/>
      <c r="H68" s="833"/>
      <c r="I68" s="833"/>
      <c r="J68" s="834"/>
    </row>
    <row r="69" spans="2:10" s="157" customFormat="1" ht="12.75" x14ac:dyDescent="0.2">
      <c r="B69" s="832"/>
      <c r="C69" s="833"/>
      <c r="D69" s="833"/>
      <c r="E69" s="833"/>
      <c r="F69" s="833"/>
      <c r="G69" s="833"/>
      <c r="H69" s="833"/>
      <c r="I69" s="833"/>
      <c r="J69" s="834"/>
    </row>
    <row r="70" spans="2:10" s="157" customFormat="1" ht="12.75" x14ac:dyDescent="0.2">
      <c r="B70" s="832"/>
      <c r="C70" s="833"/>
      <c r="D70" s="833"/>
      <c r="E70" s="833"/>
      <c r="F70" s="833"/>
      <c r="G70" s="833"/>
      <c r="H70" s="833"/>
      <c r="I70" s="833"/>
      <c r="J70" s="834"/>
    </row>
    <row r="71" spans="2:10" s="157" customFormat="1" ht="12.75" x14ac:dyDescent="0.2">
      <c r="B71" s="832"/>
      <c r="C71" s="833"/>
      <c r="D71" s="833"/>
      <c r="E71" s="833"/>
      <c r="F71" s="833"/>
      <c r="G71" s="833"/>
      <c r="H71" s="833"/>
      <c r="I71" s="833"/>
      <c r="J71" s="834"/>
    </row>
    <row r="72" spans="2:10" s="157" customFormat="1" ht="12.75" x14ac:dyDescent="0.2">
      <c r="B72" s="832"/>
      <c r="C72" s="833"/>
      <c r="D72" s="833"/>
      <c r="E72" s="833"/>
      <c r="F72" s="833"/>
      <c r="G72" s="833"/>
      <c r="H72" s="833"/>
      <c r="I72" s="833"/>
      <c r="J72" s="834"/>
    </row>
    <row r="73" spans="2:10" s="157" customFormat="1" ht="12.75" x14ac:dyDescent="0.2">
      <c r="B73" s="832"/>
      <c r="C73" s="833"/>
      <c r="D73" s="833"/>
      <c r="E73" s="833"/>
      <c r="F73" s="833"/>
      <c r="G73" s="833"/>
      <c r="H73" s="833"/>
      <c r="I73" s="833"/>
      <c r="J73" s="834"/>
    </row>
    <row r="74" spans="2:10" s="157" customFormat="1" ht="12.75" x14ac:dyDescent="0.2">
      <c r="B74" s="832"/>
      <c r="C74" s="833"/>
      <c r="D74" s="833"/>
      <c r="E74" s="833"/>
      <c r="F74" s="833"/>
      <c r="G74" s="833"/>
      <c r="H74" s="833"/>
      <c r="I74" s="833"/>
      <c r="J74" s="834"/>
    </row>
    <row r="75" spans="2:10" s="157" customFormat="1" ht="12.75" x14ac:dyDescent="0.2">
      <c r="B75" s="832"/>
      <c r="C75" s="833"/>
      <c r="D75" s="833"/>
      <c r="E75" s="833"/>
      <c r="F75" s="833"/>
      <c r="G75" s="833"/>
      <c r="H75" s="833"/>
      <c r="I75" s="833"/>
      <c r="J75" s="834"/>
    </row>
    <row r="76" spans="2:10" s="157" customFormat="1" ht="12.75" x14ac:dyDescent="0.2">
      <c r="B76" s="832"/>
      <c r="C76" s="833"/>
      <c r="D76" s="833"/>
      <c r="E76" s="833"/>
      <c r="F76" s="833"/>
      <c r="G76" s="833"/>
      <c r="H76" s="833"/>
      <c r="I76" s="833"/>
      <c r="J76" s="834"/>
    </row>
    <row r="77" spans="2:10" s="157" customFormat="1" ht="12.75" x14ac:dyDescent="0.2">
      <c r="B77" s="832"/>
      <c r="C77" s="833"/>
      <c r="D77" s="833"/>
      <c r="E77" s="833"/>
      <c r="F77" s="833"/>
      <c r="G77" s="833"/>
      <c r="H77" s="833"/>
      <c r="I77" s="833"/>
      <c r="J77" s="834"/>
    </row>
    <row r="78" spans="2:10" s="157" customFormat="1" ht="12.75" x14ac:dyDescent="0.2">
      <c r="B78" s="832"/>
      <c r="C78" s="833"/>
      <c r="D78" s="833"/>
      <c r="E78" s="833"/>
      <c r="F78" s="833"/>
      <c r="G78" s="833"/>
      <c r="H78" s="833"/>
      <c r="I78" s="833"/>
      <c r="J78" s="834"/>
    </row>
    <row r="79" spans="2:10" s="157" customFormat="1" ht="12.75" x14ac:dyDescent="0.2">
      <c r="B79" s="832"/>
      <c r="C79" s="833"/>
      <c r="D79" s="833"/>
      <c r="E79" s="833"/>
      <c r="F79" s="833"/>
      <c r="G79" s="833"/>
      <c r="H79" s="833"/>
      <c r="I79" s="833"/>
      <c r="J79" s="834"/>
    </row>
    <row r="80" spans="2:10" s="157" customFormat="1" ht="12.75" x14ac:dyDescent="0.2">
      <c r="B80" s="832"/>
      <c r="C80" s="833"/>
      <c r="D80" s="833"/>
      <c r="E80" s="833"/>
      <c r="F80" s="833"/>
      <c r="G80" s="833"/>
      <c r="H80" s="833"/>
      <c r="I80" s="833"/>
      <c r="J80" s="834"/>
    </row>
    <row r="81" spans="2:10" s="157" customFormat="1" ht="12.75" x14ac:dyDescent="0.2">
      <c r="B81" s="832"/>
      <c r="C81" s="833"/>
      <c r="D81" s="833"/>
      <c r="E81" s="833"/>
      <c r="F81" s="833"/>
      <c r="G81" s="833"/>
      <c r="H81" s="833"/>
      <c r="I81" s="833"/>
      <c r="J81" s="834"/>
    </row>
    <row r="82" spans="2:10" s="157" customFormat="1" ht="12.75" x14ac:dyDescent="0.2">
      <c r="B82" s="832"/>
      <c r="C82" s="833"/>
      <c r="D82" s="833"/>
      <c r="E82" s="833"/>
      <c r="F82" s="833"/>
      <c r="G82" s="833"/>
      <c r="H82" s="833"/>
      <c r="I82" s="833"/>
      <c r="J82" s="834"/>
    </row>
    <row r="83" spans="2:10" s="157" customFormat="1" ht="12.75" x14ac:dyDescent="0.2">
      <c r="B83" s="832"/>
      <c r="C83" s="833"/>
      <c r="D83" s="833"/>
      <c r="E83" s="833"/>
      <c r="F83" s="833"/>
      <c r="G83" s="833"/>
      <c r="H83" s="833"/>
      <c r="I83" s="833"/>
      <c r="J83" s="834"/>
    </row>
    <row r="84" spans="2:10" s="157" customFormat="1" ht="12.75" x14ac:dyDescent="0.2">
      <c r="B84" s="832"/>
      <c r="C84" s="833"/>
      <c r="D84" s="833"/>
      <c r="E84" s="833"/>
      <c r="F84" s="833"/>
      <c r="G84" s="833"/>
      <c r="H84" s="833"/>
      <c r="I84" s="833"/>
      <c r="J84" s="834"/>
    </row>
    <row r="85" spans="2:10" s="157" customFormat="1" ht="12.75" x14ac:dyDescent="0.2">
      <c r="B85" s="832"/>
      <c r="C85" s="833"/>
      <c r="D85" s="833"/>
      <c r="E85" s="833"/>
      <c r="F85" s="833"/>
      <c r="G85" s="833"/>
      <c r="H85" s="833"/>
      <c r="I85" s="833"/>
      <c r="J85" s="834"/>
    </row>
    <row r="86" spans="2:10" s="157" customFormat="1" ht="12.75" x14ac:dyDescent="0.2">
      <c r="B86" s="832"/>
      <c r="C86" s="833"/>
      <c r="D86" s="833"/>
      <c r="E86" s="833"/>
      <c r="F86" s="833"/>
      <c r="G86" s="833"/>
      <c r="H86" s="833"/>
      <c r="I86" s="833"/>
      <c r="J86" s="834"/>
    </row>
    <row r="87" spans="2:10" s="157" customFormat="1" ht="12.75" x14ac:dyDescent="0.2">
      <c r="B87" s="832"/>
      <c r="C87" s="833"/>
      <c r="D87" s="833"/>
      <c r="E87" s="833"/>
      <c r="F87" s="833"/>
      <c r="G87" s="833"/>
      <c r="H87" s="833"/>
      <c r="I87" s="833"/>
      <c r="J87" s="834"/>
    </row>
    <row r="88" spans="2:10" s="157" customFormat="1" ht="12.75" x14ac:dyDescent="0.2">
      <c r="B88" s="832"/>
      <c r="C88" s="833"/>
      <c r="D88" s="833"/>
      <c r="E88" s="833"/>
      <c r="F88" s="833"/>
      <c r="G88" s="833"/>
      <c r="H88" s="833"/>
      <c r="I88" s="833"/>
      <c r="J88" s="834"/>
    </row>
    <row r="89" spans="2:10" s="157" customFormat="1" ht="12.75" x14ac:dyDescent="0.2">
      <c r="B89" s="832"/>
      <c r="C89" s="833"/>
      <c r="D89" s="833"/>
      <c r="E89" s="833"/>
      <c r="F89" s="833"/>
      <c r="G89" s="833"/>
      <c r="H89" s="833"/>
      <c r="I89" s="833"/>
      <c r="J89" s="834"/>
    </row>
    <row r="90" spans="2:10" s="157" customFormat="1" ht="12.75" x14ac:dyDescent="0.2">
      <c r="B90" s="832"/>
      <c r="C90" s="833"/>
      <c r="D90" s="833"/>
      <c r="E90" s="833"/>
      <c r="F90" s="833"/>
      <c r="G90" s="833"/>
      <c r="H90" s="833"/>
      <c r="I90" s="833"/>
      <c r="J90" s="834"/>
    </row>
    <row r="91" spans="2:10" s="157" customFormat="1" ht="12.75" x14ac:dyDescent="0.2">
      <c r="B91" s="832"/>
      <c r="C91" s="833"/>
      <c r="D91" s="833"/>
      <c r="E91" s="833"/>
      <c r="F91" s="833"/>
      <c r="G91" s="833"/>
      <c r="H91" s="833"/>
      <c r="I91" s="833"/>
      <c r="J91" s="834"/>
    </row>
    <row r="92" spans="2:10" s="157" customFormat="1" ht="12.75" x14ac:dyDescent="0.2">
      <c r="B92" s="832"/>
      <c r="C92" s="833"/>
      <c r="D92" s="833"/>
      <c r="E92" s="833"/>
      <c r="F92" s="833"/>
      <c r="G92" s="833"/>
      <c r="H92" s="833"/>
      <c r="I92" s="833"/>
      <c r="J92" s="834"/>
    </row>
    <row r="93" spans="2:10" s="157" customFormat="1" ht="12.75" x14ac:dyDescent="0.2">
      <c r="B93" s="835"/>
      <c r="C93" s="836"/>
      <c r="D93" s="836"/>
      <c r="E93" s="836"/>
      <c r="F93" s="836"/>
      <c r="G93" s="836"/>
      <c r="H93" s="836"/>
      <c r="I93" s="836"/>
      <c r="J93" s="837"/>
    </row>
    <row r="94" spans="2:10" s="157" customFormat="1" ht="12.75" x14ac:dyDescent="0.2">
      <c r="B94" s="213"/>
      <c r="D94" s="211"/>
      <c r="E94" s="211"/>
      <c r="F94" s="211"/>
      <c r="G94" s="212"/>
      <c r="H94" s="212"/>
      <c r="I94" s="212"/>
      <c r="J94" s="212"/>
    </row>
    <row r="95" spans="2:10" s="157" customFormat="1" ht="18.75" x14ac:dyDescent="0.3">
      <c r="B95" s="238" t="s">
        <v>650</v>
      </c>
      <c r="C95" s="241" t="s">
        <v>207</v>
      </c>
      <c r="D95" s="238" t="s">
        <v>651</v>
      </c>
      <c r="E95" s="238"/>
      <c r="F95" s="240"/>
    </row>
    <row r="96" spans="2:10" s="157" customFormat="1" ht="18" x14ac:dyDescent="0.4">
      <c r="B96" s="214"/>
      <c r="D96" s="214"/>
      <c r="E96" s="214"/>
    </row>
    <row r="97" spans="2:10" s="157" customFormat="1" ht="18" customHeight="1" x14ac:dyDescent="0.2">
      <c r="B97" s="819"/>
      <c r="C97" s="820"/>
      <c r="D97" s="820"/>
      <c r="E97" s="820"/>
      <c r="F97" s="820"/>
      <c r="G97" s="820"/>
      <c r="H97" s="820"/>
      <c r="I97" s="820"/>
      <c r="J97" s="821"/>
    </row>
    <row r="98" spans="2:10" s="157" customFormat="1" ht="18" customHeight="1" x14ac:dyDescent="0.2">
      <c r="B98" s="822"/>
      <c r="C98" s="756"/>
      <c r="D98" s="756"/>
      <c r="E98" s="756"/>
      <c r="F98" s="756"/>
      <c r="G98" s="756"/>
      <c r="H98" s="756"/>
      <c r="I98" s="756"/>
      <c r="J98" s="823"/>
    </row>
    <row r="99" spans="2:10" s="157" customFormat="1" ht="18" customHeight="1" x14ac:dyDescent="0.2">
      <c r="B99" s="822"/>
      <c r="C99" s="756"/>
      <c r="D99" s="756"/>
      <c r="E99" s="756"/>
      <c r="F99" s="756"/>
      <c r="G99" s="756"/>
      <c r="H99" s="756"/>
      <c r="I99" s="756"/>
      <c r="J99" s="823"/>
    </row>
    <row r="100" spans="2:10" s="157" customFormat="1" ht="18" customHeight="1" x14ac:dyDescent="0.2">
      <c r="B100" s="822"/>
      <c r="C100" s="756"/>
      <c r="D100" s="756"/>
      <c r="E100" s="756"/>
      <c r="F100" s="756"/>
      <c r="G100" s="756"/>
      <c r="H100" s="756"/>
      <c r="I100" s="756"/>
      <c r="J100" s="823"/>
    </row>
    <row r="101" spans="2:10" s="157" customFormat="1" ht="18" customHeight="1" x14ac:dyDescent="0.2">
      <c r="B101" s="822"/>
      <c r="C101" s="756"/>
      <c r="D101" s="756"/>
      <c r="E101" s="756"/>
      <c r="F101" s="756"/>
      <c r="G101" s="756"/>
      <c r="H101" s="756"/>
      <c r="I101" s="756"/>
      <c r="J101" s="823"/>
    </row>
    <row r="102" spans="2:10" s="157" customFormat="1" ht="18" customHeight="1" x14ac:dyDescent="0.2">
      <c r="B102" s="822"/>
      <c r="C102" s="756"/>
      <c r="D102" s="756"/>
      <c r="E102" s="756"/>
      <c r="F102" s="756"/>
      <c r="G102" s="756"/>
      <c r="H102" s="756"/>
      <c r="I102" s="756"/>
      <c r="J102" s="823"/>
    </row>
    <row r="103" spans="2:10" s="157" customFormat="1" ht="18" customHeight="1" x14ac:dyDescent="0.2">
      <c r="B103" s="822"/>
      <c r="C103" s="756"/>
      <c r="D103" s="756"/>
      <c r="E103" s="756"/>
      <c r="F103" s="756"/>
      <c r="G103" s="756"/>
      <c r="H103" s="756"/>
      <c r="I103" s="756"/>
      <c r="J103" s="823"/>
    </row>
    <row r="104" spans="2:10" s="157" customFormat="1" ht="18" customHeight="1" x14ac:dyDescent="0.2">
      <c r="B104" s="822"/>
      <c r="C104" s="756"/>
      <c r="D104" s="756"/>
      <c r="E104" s="756"/>
      <c r="F104" s="756"/>
      <c r="G104" s="756"/>
      <c r="H104" s="756"/>
      <c r="I104" s="756"/>
      <c r="J104" s="823"/>
    </row>
    <row r="105" spans="2:10" s="157" customFormat="1" ht="18" customHeight="1" x14ac:dyDescent="0.2">
      <c r="B105" s="822"/>
      <c r="C105" s="756"/>
      <c r="D105" s="756"/>
      <c r="E105" s="756"/>
      <c r="F105" s="756"/>
      <c r="G105" s="756"/>
      <c r="H105" s="756"/>
      <c r="I105" s="756"/>
      <c r="J105" s="823"/>
    </row>
    <row r="106" spans="2:10" s="157" customFormat="1" ht="18" customHeight="1" x14ac:dyDescent="0.2">
      <c r="B106" s="822"/>
      <c r="C106" s="756"/>
      <c r="D106" s="756"/>
      <c r="E106" s="756"/>
      <c r="F106" s="756"/>
      <c r="G106" s="756"/>
      <c r="H106" s="756"/>
      <c r="I106" s="756"/>
      <c r="J106" s="823"/>
    </row>
    <row r="107" spans="2:10" s="157" customFormat="1" ht="18" customHeight="1" x14ac:dyDescent="0.2">
      <c r="B107" s="822"/>
      <c r="C107" s="756"/>
      <c r="D107" s="756"/>
      <c r="E107" s="756"/>
      <c r="F107" s="756"/>
      <c r="G107" s="756"/>
      <c r="H107" s="756"/>
      <c r="I107" s="756"/>
      <c r="J107" s="823"/>
    </row>
    <row r="108" spans="2:10" s="157" customFormat="1" ht="18" customHeight="1" x14ac:dyDescent="0.2">
      <c r="B108" s="822"/>
      <c r="C108" s="756"/>
      <c r="D108" s="756"/>
      <c r="E108" s="756"/>
      <c r="F108" s="756"/>
      <c r="G108" s="756"/>
      <c r="H108" s="756"/>
      <c r="I108" s="756"/>
      <c r="J108" s="823"/>
    </row>
    <row r="109" spans="2:10" s="157" customFormat="1" ht="18" customHeight="1" x14ac:dyDescent="0.2">
      <c r="B109" s="824"/>
      <c r="C109" s="825"/>
      <c r="D109" s="825"/>
      <c r="E109" s="825"/>
      <c r="F109" s="825"/>
      <c r="G109" s="825"/>
      <c r="H109" s="825"/>
      <c r="I109" s="825"/>
      <c r="J109" s="826"/>
    </row>
    <row r="110" spans="2:10" s="157" customFormat="1" ht="18" x14ac:dyDescent="0.4">
      <c r="B110" s="214"/>
      <c r="D110" s="39"/>
      <c r="E110" s="39"/>
      <c r="F110" s="39"/>
      <c r="G110" s="39"/>
      <c r="H110" s="39"/>
      <c r="I110" s="39"/>
      <c r="J110" s="39"/>
    </row>
    <row r="111" spans="2:10" s="157" customFormat="1" ht="18" x14ac:dyDescent="0.4">
      <c r="B111" s="214"/>
      <c r="D111" s="39"/>
      <c r="E111" s="39"/>
      <c r="F111" s="39"/>
      <c r="G111" s="39"/>
      <c r="H111" s="39"/>
      <c r="I111" s="39"/>
      <c r="J111" s="39"/>
    </row>
    <row r="112" spans="2:10" s="157" customFormat="1" ht="18" x14ac:dyDescent="0.4">
      <c r="B112" s="214"/>
      <c r="D112" s="214"/>
      <c r="E112" s="214"/>
      <c r="F112" s="214"/>
      <c r="G112" s="214"/>
      <c r="H112" s="214"/>
      <c r="I112" s="214"/>
      <c r="J112" s="214"/>
    </row>
    <row r="113" spans="2:10" s="157" customFormat="1" ht="18" x14ac:dyDescent="0.4">
      <c r="B113" s="214"/>
      <c r="D113" s="214"/>
      <c r="E113" s="214"/>
      <c r="F113" s="214"/>
      <c r="G113" s="214"/>
      <c r="H113" s="214"/>
      <c r="I113" s="214"/>
      <c r="J113" s="214"/>
    </row>
    <row r="114" spans="2:10" s="157" customFormat="1" ht="18" x14ac:dyDescent="0.4">
      <c r="B114" s="214"/>
      <c r="D114" s="214"/>
      <c r="E114" s="214"/>
      <c r="F114" s="214"/>
      <c r="G114" s="214"/>
      <c r="H114" s="214"/>
      <c r="I114" s="214"/>
      <c r="J114" s="214"/>
    </row>
  </sheetData>
  <sheetProtection algorithmName="SHA-512" hashValue="rMZZmAfaLk0JaWmy48uOE9FG8gbCY0vAyl+RZnA9moBQ6R7457nfpMqQocllLafw1gNSqlPJ7YJumXtZnUhSjw==" saltValue="zN0jqHtj/sYatvgaQkivtQ==" spinCount="100000" sheet="1" objects="1" scenarios="1"/>
  <mergeCells count="7">
    <mergeCell ref="B97:J109"/>
    <mergeCell ref="B11:J37"/>
    <mergeCell ref="B41:J44"/>
    <mergeCell ref="B46:J50"/>
    <mergeCell ref="B52:J57"/>
    <mergeCell ref="B59:J64"/>
    <mergeCell ref="B67:J93"/>
  </mergeCells>
  <hyperlinks>
    <hyperlink ref="A6" location="'תוכן עניינים'!A1" display="תוכן עניינים" xr:uid="{00000000-0004-0000-0F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18">
    <pageSetUpPr fitToPage="1"/>
  </sheetPr>
  <dimension ref="A1:N207"/>
  <sheetViews>
    <sheetView showGridLines="0" rightToLeft="1" topLeftCell="A112" zoomScale="85" zoomScaleNormal="85" workbookViewId="0">
      <selection activeCell="I131" sqref="I131"/>
    </sheetView>
  </sheetViews>
  <sheetFormatPr defaultColWidth="8" defaultRowHeight="15.75" x14ac:dyDescent="0.25"/>
  <cols>
    <col min="1" max="1" width="8" style="4"/>
    <col min="2" max="2" width="10.5" style="4" bestFit="1" customWidth="1"/>
    <col min="3" max="3" width="15.25" style="4" customWidth="1"/>
    <col min="4" max="4" width="21.25" style="4" customWidth="1"/>
    <col min="5" max="5" width="22.75" style="4" customWidth="1"/>
    <col min="6" max="6" width="24.125" style="4" customWidth="1"/>
    <col min="7" max="7" width="17.625" style="4" customWidth="1"/>
    <col min="8" max="8" width="25.5" style="4" customWidth="1"/>
    <col min="9" max="9" width="34.75" style="4" customWidth="1"/>
    <col min="10" max="10" width="14.75" style="4" customWidth="1"/>
    <col min="11" max="11" width="17.125" style="4" customWidth="1"/>
    <col min="12" max="12" width="21.5" style="4" customWidth="1"/>
    <col min="13" max="13" width="18.75" style="4" customWidth="1"/>
    <col min="14" max="14" width="0.125" style="4" customWidth="1"/>
    <col min="15" max="15" width="14.75" style="4" customWidth="1"/>
    <col min="16" max="16" width="3.25" style="4" customWidth="1"/>
    <col min="17" max="16384" width="8" style="4"/>
  </cols>
  <sheetData>
    <row r="1" spans="1:13" ht="29.1" customHeight="1" x14ac:dyDescent="0.5">
      <c r="A1" s="11" t="s">
        <v>776</v>
      </c>
      <c r="B1" s="5"/>
      <c r="C1" s="12">
        <f>הנחיות!C1</f>
        <v>2024</v>
      </c>
      <c r="D1" s="5"/>
      <c r="E1" s="5"/>
      <c r="F1" s="5"/>
      <c r="G1" s="5"/>
      <c r="H1" s="70"/>
      <c r="I1" s="73"/>
      <c r="J1" s="73"/>
      <c r="K1" s="6"/>
      <c r="L1" s="361"/>
      <c r="M1" s="362"/>
    </row>
    <row r="2" spans="1:13" ht="31.5" x14ac:dyDescent="0.5">
      <c r="A2" s="13" t="s">
        <v>772</v>
      </c>
      <c r="B2" s="6"/>
      <c r="C2" s="15" t="s">
        <v>814</v>
      </c>
      <c r="D2" s="6"/>
      <c r="E2" s="6"/>
      <c r="F2" s="6"/>
      <c r="G2" s="6"/>
      <c r="H2" s="72"/>
      <c r="I2" s="73"/>
      <c r="J2" s="73"/>
      <c r="K2" s="6"/>
      <c r="L2" s="362"/>
      <c r="M2" s="362"/>
    </row>
    <row r="3" spans="1:13" ht="15.6" customHeight="1" x14ac:dyDescent="0.5">
      <c r="A3" s="7"/>
      <c r="B3" s="6"/>
      <c r="C3" s="6"/>
      <c r="D3" s="6"/>
      <c r="E3" s="6"/>
      <c r="F3" s="6"/>
      <c r="G3" s="6"/>
      <c r="H3" s="72"/>
      <c r="I3" s="73"/>
      <c r="J3" s="73"/>
      <c r="K3" s="6"/>
      <c r="L3" s="362"/>
      <c r="M3" s="362"/>
    </row>
    <row r="4" spans="1:13" ht="31.5" x14ac:dyDescent="0.5">
      <c r="A4" s="58" t="s">
        <v>773</v>
      </c>
      <c r="B4" s="59"/>
      <c r="C4" s="65" t="str">
        <f>IF('פרטי התאגיד'!$G$9=0, "", 'פרטי התאגיד'!$G$9)</f>
        <v>פלגי מוצקין בע"מ</v>
      </c>
      <c r="D4" s="60"/>
      <c r="E4" s="60"/>
      <c r="F4" s="60"/>
      <c r="G4" s="60"/>
      <c r="H4" s="132"/>
      <c r="I4" s="148"/>
      <c r="J4" s="148"/>
      <c r="K4" s="148"/>
      <c r="L4" s="148"/>
      <c r="M4" s="133"/>
    </row>
    <row r="5" spans="1:13" x14ac:dyDescent="0.25">
      <c r="A5" s="291"/>
    </row>
    <row r="6" spans="1:13" ht="16.5" thickBot="1" x14ac:dyDescent="0.3">
      <c r="A6" s="285" t="s">
        <v>1</v>
      </c>
      <c r="B6" s="244"/>
    </row>
    <row r="7" spans="1:13" x14ac:dyDescent="0.25">
      <c r="A7" s="244"/>
      <c r="B7" s="256"/>
      <c r="C7" s="496"/>
      <c r="D7" s="496"/>
      <c r="E7" s="496"/>
      <c r="F7" s="496"/>
      <c r="G7" s="496"/>
      <c r="H7" s="496"/>
      <c r="I7" s="496"/>
      <c r="J7" s="496"/>
      <c r="K7" s="496"/>
      <c r="L7" s="496"/>
      <c r="M7" s="497"/>
    </row>
    <row r="8" spans="1:13" ht="36.75" customHeight="1" x14ac:dyDescent="0.25">
      <c r="A8" s="244"/>
      <c r="B8" s="498"/>
      <c r="C8" s="466" t="s">
        <v>652</v>
      </c>
      <c r="D8" s="365"/>
      <c r="E8" s="242"/>
      <c r="F8" s="449" t="str">
        <f>IF(OR(LEN('פרטי התאגיד'!$G$13)&gt;4, LEN('פרטי התאגיד'!$G$11)&gt;4), "לתקופה", " לשנה שנסתיימה ביום 31 בדצמבר")</f>
        <v xml:space="preserve"> לשנה שנסתיימה ביום 31 בדצמבר</v>
      </c>
      <c r="G8" s="242"/>
      <c r="H8" s="449" t="str">
        <f>IF(OR(LEN('פרטי התאגיד'!$G$13)&gt;4, LEN('פרטי התאגיד'!$G$11)&gt;4), "לתקופה", " לשנה שנסתיימה ביום 31 בדצמבר")</f>
        <v xml:space="preserve"> לשנה שנסתיימה ביום 31 בדצמבר</v>
      </c>
      <c r="I8" s="242"/>
      <c r="J8" s="242"/>
      <c r="K8" s="242"/>
      <c r="L8" s="242"/>
      <c r="M8" s="499"/>
    </row>
    <row r="9" spans="1:13" ht="18.75" customHeight="1" x14ac:dyDescent="0.25">
      <c r="A9" s="244"/>
      <c r="B9" s="498"/>
      <c r="C9" s="444"/>
      <c r="D9" s="444"/>
      <c r="E9" s="242"/>
      <c r="F9" s="449">
        <f>IF('פרטי התאגיד'!G11="","",IF(LEN('פרטי התאגיד'!$G$11)&gt;4,MID('פרטי התאגיד'!$G$11,4,2)&amp;"-12/"&amp;MID('פרטי התאגיד'!$G$11,7,4),IF(LEN(H9)&gt;4,"1-12/"&amp;'פרטי התאגיד'!$G$11,'פרטי התאגיד'!$G$11)))</f>
        <v>2024</v>
      </c>
      <c r="G9" s="242"/>
      <c r="H9" s="449">
        <f>IF('פרטי התאגיד'!$G$13="","",IF(LEN('פרטי התאגיד'!$G$13)=4,'פרטי התאגיד'!$G$13,MID('פרטי התאגיד'!$G$13,4,2)&amp;"-12/"&amp;MID('פרטי התאגיד'!$G$13,7,4)))</f>
        <v>2023</v>
      </c>
      <c r="I9" s="242"/>
      <c r="J9" s="242"/>
      <c r="K9" s="242"/>
      <c r="L9" s="242"/>
      <c r="M9" s="499"/>
    </row>
    <row r="10" spans="1:13" ht="15.75" customHeight="1" x14ac:dyDescent="0.25">
      <c r="A10" s="244"/>
      <c r="B10" s="500"/>
      <c r="C10" s="445"/>
      <c r="D10" s="445"/>
      <c r="E10" s="853" t="s">
        <v>653</v>
      </c>
      <c r="F10" s="853"/>
      <c r="M10" s="501"/>
    </row>
    <row r="11" spans="1:13" ht="18" customHeight="1" x14ac:dyDescent="0.25">
      <c r="A11" s="244"/>
      <c r="B11" s="502"/>
      <c r="E11" s="503" t="s">
        <v>654</v>
      </c>
      <c r="F11" s="453">
        <v>9002091</v>
      </c>
      <c r="H11" s="453">
        <v>9222030</v>
      </c>
      <c r="M11" s="501"/>
    </row>
    <row r="12" spans="1:13" ht="18" customHeight="1" x14ac:dyDescent="0.25">
      <c r="A12" s="244"/>
      <c r="B12" s="502"/>
      <c r="D12" s="504"/>
      <c r="E12" s="503" t="s">
        <v>655</v>
      </c>
      <c r="F12" s="453"/>
      <c r="H12" s="453"/>
      <c r="M12" s="501"/>
    </row>
    <row r="13" spans="1:13" ht="18" customHeight="1" x14ac:dyDescent="0.25">
      <c r="A13" s="244"/>
      <c r="B13" s="502"/>
      <c r="D13" s="504"/>
      <c r="E13" s="503" t="s">
        <v>656</v>
      </c>
      <c r="F13" s="453"/>
      <c r="H13" s="453"/>
      <c r="M13" s="501"/>
    </row>
    <row r="14" spans="1:13" ht="18" customHeight="1" x14ac:dyDescent="0.25">
      <c r="A14" s="244"/>
      <c r="B14" s="502"/>
      <c r="D14" s="504"/>
      <c r="E14" s="505" t="s">
        <v>657</v>
      </c>
      <c r="F14" s="339">
        <f>F11+F12+F13</f>
        <v>9002091</v>
      </c>
      <c r="H14" s="339">
        <f>H11+H12+H13</f>
        <v>9222030</v>
      </c>
      <c r="M14" s="501"/>
    </row>
    <row r="15" spans="1:13" ht="15.75" customHeight="1" x14ac:dyDescent="0.25">
      <c r="A15" s="244"/>
      <c r="B15" s="502"/>
      <c r="E15" s="853" t="s">
        <v>658</v>
      </c>
      <c r="F15" s="853"/>
      <c r="M15" s="501"/>
    </row>
    <row r="16" spans="1:13" ht="15.75" customHeight="1" x14ac:dyDescent="0.25">
      <c r="A16" s="244"/>
      <c r="B16" s="502"/>
      <c r="E16" s="503" t="s">
        <v>659</v>
      </c>
      <c r="F16" s="453">
        <v>4540527</v>
      </c>
      <c r="H16" s="453">
        <v>4498164</v>
      </c>
      <c r="M16" s="501"/>
    </row>
    <row r="17" spans="1:14" ht="18" customHeight="1" x14ac:dyDescent="0.25">
      <c r="A17" s="244"/>
      <c r="B17" s="502"/>
      <c r="E17" s="503" t="s">
        <v>660</v>
      </c>
      <c r="F17" s="453">
        <v>1820093</v>
      </c>
      <c r="H17" s="453">
        <v>1762478</v>
      </c>
      <c r="M17" s="501"/>
    </row>
    <row r="18" spans="1:14" ht="18" customHeight="1" x14ac:dyDescent="0.25">
      <c r="A18" s="244"/>
      <c r="B18" s="502"/>
      <c r="E18" s="503" t="s">
        <v>661</v>
      </c>
      <c r="F18" s="453">
        <v>167167</v>
      </c>
      <c r="H18" s="453">
        <v>365928</v>
      </c>
      <c r="M18" s="501"/>
    </row>
    <row r="19" spans="1:14" ht="18" customHeight="1" x14ac:dyDescent="0.25">
      <c r="A19" s="244"/>
      <c r="B19" s="502"/>
      <c r="E19" s="503" t="s">
        <v>662</v>
      </c>
      <c r="F19" s="453">
        <v>317886</v>
      </c>
      <c r="H19" s="453">
        <v>298303</v>
      </c>
      <c r="M19" s="501"/>
    </row>
    <row r="20" spans="1:14" ht="18" hidden="1" customHeight="1" x14ac:dyDescent="0.25">
      <c r="A20" s="244"/>
      <c r="B20" s="502"/>
      <c r="E20" s="503" t="s">
        <v>663</v>
      </c>
      <c r="F20" s="453"/>
      <c r="H20" s="453"/>
      <c r="M20" s="501"/>
    </row>
    <row r="21" spans="1:14" ht="18" hidden="1" customHeight="1" x14ac:dyDescent="0.25">
      <c r="A21" s="244"/>
      <c r="B21" s="502"/>
      <c r="E21" s="503" t="s">
        <v>664</v>
      </c>
      <c r="F21" s="453"/>
      <c r="H21" s="453"/>
      <c r="M21" s="501"/>
    </row>
    <row r="22" spans="1:14" ht="18" customHeight="1" x14ac:dyDescent="0.25">
      <c r="A22" s="244"/>
      <c r="B22" s="502"/>
      <c r="E22" s="503" t="s">
        <v>665</v>
      </c>
      <c r="F22" s="453">
        <v>503600</v>
      </c>
      <c r="H22" s="453">
        <v>489266</v>
      </c>
      <c r="M22" s="501"/>
    </row>
    <row r="23" spans="1:14" ht="18" customHeight="1" x14ac:dyDescent="0.25">
      <c r="A23" s="244"/>
      <c r="B23" s="502"/>
      <c r="E23" s="503" t="s">
        <v>666</v>
      </c>
      <c r="F23" s="453"/>
      <c r="H23" s="453"/>
      <c r="M23" s="501"/>
    </row>
    <row r="24" spans="1:14" ht="18" customHeight="1" x14ac:dyDescent="0.25">
      <c r="A24" s="244"/>
      <c r="B24" s="502"/>
      <c r="E24" s="503" t="s">
        <v>667</v>
      </c>
      <c r="F24" s="453"/>
      <c r="H24" s="453"/>
      <c r="M24" s="501"/>
    </row>
    <row r="25" spans="1:14" ht="18" customHeight="1" x14ac:dyDescent="0.25">
      <c r="A25" s="244"/>
      <c r="B25" s="502"/>
      <c r="E25" s="503" t="s">
        <v>668</v>
      </c>
      <c r="F25" s="453"/>
      <c r="H25" s="453"/>
      <c r="M25" s="501"/>
    </row>
    <row r="26" spans="1:14" ht="18" customHeight="1" x14ac:dyDescent="0.25">
      <c r="A26" s="244"/>
      <c r="B26" s="502"/>
      <c r="E26" s="503" t="s">
        <v>669</v>
      </c>
      <c r="F26" s="453">
        <v>505070</v>
      </c>
      <c r="H26" s="453">
        <v>398731</v>
      </c>
      <c r="M26" s="501"/>
    </row>
    <row r="27" spans="1:14" ht="31.5" x14ac:dyDescent="0.25">
      <c r="A27" s="244"/>
      <c r="B27" s="502"/>
      <c r="E27" s="39" t="s">
        <v>670</v>
      </c>
      <c r="F27" s="453"/>
      <c r="H27" s="453"/>
      <c r="M27" s="501"/>
      <c r="N27" s="450"/>
    </row>
    <row r="28" spans="1:14" ht="18" customHeight="1" x14ac:dyDescent="0.25">
      <c r="A28" s="244"/>
      <c r="B28" s="502"/>
      <c r="E28" s="505" t="s">
        <v>671</v>
      </c>
      <c r="F28" s="375">
        <f>SUM(F16:F27)</f>
        <v>7854343</v>
      </c>
      <c r="H28" s="375">
        <f>SUM(H16:H27)</f>
        <v>7812870</v>
      </c>
      <c r="M28" s="501"/>
      <c r="N28" s="450"/>
    </row>
    <row r="29" spans="1:14" ht="18" customHeight="1" x14ac:dyDescent="0.25">
      <c r="A29" s="244"/>
      <c r="B29" s="502"/>
      <c r="E29" s="503" t="s">
        <v>672</v>
      </c>
      <c r="F29" s="453"/>
      <c r="H29" s="453"/>
      <c r="M29" s="501"/>
      <c r="N29" s="450"/>
    </row>
    <row r="30" spans="1:14" ht="18" customHeight="1" x14ac:dyDescent="0.25">
      <c r="A30" s="244"/>
      <c r="B30" s="502"/>
      <c r="E30" s="505" t="s">
        <v>673</v>
      </c>
      <c r="F30" s="339">
        <f>SUM(F28:F29)</f>
        <v>7854343</v>
      </c>
      <c r="H30" s="339">
        <f>SUM(H28:H29)</f>
        <v>7812870</v>
      </c>
      <c r="M30" s="501"/>
      <c r="N30" s="450"/>
    </row>
    <row r="31" spans="1:14" ht="18" customHeight="1" x14ac:dyDescent="0.25">
      <c r="A31" s="244"/>
      <c r="B31" s="502"/>
      <c r="E31" s="505"/>
      <c r="F31" s="506"/>
      <c r="H31" s="506"/>
      <c r="M31" s="501"/>
      <c r="N31" s="450"/>
    </row>
    <row r="32" spans="1:14" ht="18" customHeight="1" x14ac:dyDescent="0.25">
      <c r="A32" s="244"/>
      <c r="B32" s="502"/>
      <c r="E32" s="505" t="s">
        <v>674</v>
      </c>
      <c r="F32" s="339">
        <f>F14-F30</f>
        <v>1147748</v>
      </c>
      <c r="H32" s="339">
        <f>H14-H30</f>
        <v>1409160</v>
      </c>
      <c r="I32" s="441"/>
      <c r="M32" s="501"/>
      <c r="N32" s="450"/>
    </row>
    <row r="33" spans="1:14" ht="18" customHeight="1" x14ac:dyDescent="0.25">
      <c r="A33" s="244"/>
      <c r="B33" s="502"/>
      <c r="E33" s="505"/>
      <c r="M33" s="501"/>
      <c r="N33" s="450"/>
    </row>
    <row r="34" spans="1:14" ht="18" customHeight="1" x14ac:dyDescent="0.25">
      <c r="A34" s="244"/>
      <c r="B34" s="502"/>
      <c r="E34" s="505" t="s">
        <v>675</v>
      </c>
      <c r="F34" s="465">
        <f>IF(F14=0,0,(F32/F14))</f>
        <v>0.1274979335356641</v>
      </c>
      <c r="G34" s="507"/>
      <c r="H34" s="465">
        <f>IF(H14=0,0,(H32/H14))</f>
        <v>0.1528036668716107</v>
      </c>
      <c r="M34" s="501"/>
      <c r="N34" s="450"/>
    </row>
    <row r="35" spans="1:14" ht="18" customHeight="1" x14ac:dyDescent="0.25">
      <c r="A35" s="244"/>
      <c r="B35" s="502"/>
      <c r="M35" s="501"/>
      <c r="N35" s="450"/>
    </row>
    <row r="36" spans="1:14" ht="18" customHeight="1" x14ac:dyDescent="0.25">
      <c r="A36" s="244"/>
      <c r="B36" s="502"/>
      <c r="M36" s="501"/>
      <c r="N36" s="450"/>
    </row>
    <row r="37" spans="1:14" ht="18" customHeight="1" x14ac:dyDescent="0.25">
      <c r="A37" s="244"/>
      <c r="B37" s="502"/>
      <c r="E37" s="285" t="s">
        <v>676</v>
      </c>
      <c r="F37" s="297"/>
      <c r="M37" s="501"/>
      <c r="N37" s="450"/>
    </row>
    <row r="38" spans="1:14" ht="18" customHeight="1" x14ac:dyDescent="0.25">
      <c r="A38" s="244"/>
      <c r="B38" s="502"/>
      <c r="E38" s="283"/>
      <c r="M38" s="501"/>
      <c r="N38" s="450"/>
    </row>
    <row r="39" spans="1:14" ht="18" customHeight="1" x14ac:dyDescent="0.25">
      <c r="A39" s="244"/>
      <c r="B39" s="502"/>
      <c r="D39" s="866" t="s">
        <v>670</v>
      </c>
      <c r="E39" s="854" t="s">
        <v>788</v>
      </c>
      <c r="F39" s="855"/>
      <c r="G39" s="855"/>
      <c r="H39" s="856"/>
      <c r="M39" s="501"/>
      <c r="N39" s="450"/>
    </row>
    <row r="40" spans="1:14" ht="18" customHeight="1" x14ac:dyDescent="0.25">
      <c r="A40" s="4">
        <v>1</v>
      </c>
      <c r="B40" s="502"/>
      <c r="D40" s="866"/>
      <c r="E40" s="857"/>
      <c r="F40" s="858"/>
      <c r="G40" s="858"/>
      <c r="H40" s="859"/>
      <c r="M40" s="501"/>
      <c r="N40" s="450"/>
    </row>
    <row r="41" spans="1:14" ht="18" customHeight="1" x14ac:dyDescent="0.25">
      <c r="B41" s="502"/>
      <c r="D41" s="866"/>
      <c r="E41" s="857"/>
      <c r="F41" s="858"/>
      <c r="G41" s="858"/>
      <c r="H41" s="859"/>
      <c r="M41" s="501"/>
      <c r="N41" s="450"/>
    </row>
    <row r="42" spans="1:14" ht="18" customHeight="1" x14ac:dyDescent="0.25">
      <c r="B42" s="502"/>
      <c r="E42" s="857"/>
      <c r="F42" s="858"/>
      <c r="G42" s="858"/>
      <c r="H42" s="859"/>
      <c r="M42" s="501"/>
      <c r="N42" s="450"/>
    </row>
    <row r="43" spans="1:14" ht="18" customHeight="1" x14ac:dyDescent="0.25">
      <c r="B43" s="502"/>
      <c r="E43" s="857"/>
      <c r="F43" s="858"/>
      <c r="G43" s="858"/>
      <c r="H43" s="859"/>
      <c r="M43" s="501"/>
      <c r="N43" s="450"/>
    </row>
    <row r="44" spans="1:14" ht="18" customHeight="1" x14ac:dyDescent="0.25">
      <c r="B44" s="502"/>
      <c r="E44" s="857"/>
      <c r="F44" s="858"/>
      <c r="G44" s="858"/>
      <c r="H44" s="859"/>
      <c r="M44" s="501"/>
      <c r="N44" s="450"/>
    </row>
    <row r="45" spans="1:14" ht="18" customHeight="1" x14ac:dyDescent="0.25">
      <c r="B45" s="502"/>
      <c r="E45" s="857"/>
      <c r="F45" s="858"/>
      <c r="G45" s="858"/>
      <c r="H45" s="859"/>
      <c r="M45" s="501"/>
      <c r="N45" s="450"/>
    </row>
    <row r="46" spans="1:14" ht="18" customHeight="1" x14ac:dyDescent="0.25">
      <c r="B46" s="502"/>
      <c r="E46" s="857"/>
      <c r="F46" s="858"/>
      <c r="G46" s="858"/>
      <c r="H46" s="859"/>
      <c r="M46" s="501"/>
      <c r="N46" s="450"/>
    </row>
    <row r="47" spans="1:14" ht="18" customHeight="1" x14ac:dyDescent="0.25">
      <c r="B47" s="502"/>
      <c r="E47" s="857"/>
      <c r="F47" s="858"/>
      <c r="G47" s="858"/>
      <c r="H47" s="859"/>
      <c r="M47" s="501"/>
      <c r="N47" s="450"/>
    </row>
    <row r="48" spans="1:14" ht="18" customHeight="1" x14ac:dyDescent="0.25">
      <c r="B48" s="502"/>
      <c r="E48" s="857"/>
      <c r="F48" s="858"/>
      <c r="G48" s="858"/>
      <c r="H48" s="859"/>
      <c r="M48" s="501"/>
      <c r="N48" s="450"/>
    </row>
    <row r="49" spans="1:14" ht="18" customHeight="1" x14ac:dyDescent="0.25">
      <c r="B49" s="502"/>
      <c r="E49" s="857"/>
      <c r="F49" s="858"/>
      <c r="G49" s="858"/>
      <c r="H49" s="859"/>
      <c r="M49" s="501"/>
      <c r="N49" s="450"/>
    </row>
    <row r="50" spans="1:14" ht="18" customHeight="1" x14ac:dyDescent="0.25">
      <c r="B50" s="502"/>
      <c r="E50" s="857"/>
      <c r="F50" s="858"/>
      <c r="G50" s="858"/>
      <c r="H50" s="859"/>
      <c r="M50" s="501"/>
      <c r="N50" s="450"/>
    </row>
    <row r="51" spans="1:14" ht="18" customHeight="1" x14ac:dyDescent="0.25">
      <c r="B51" s="502"/>
      <c r="E51" s="857"/>
      <c r="F51" s="858"/>
      <c r="G51" s="858"/>
      <c r="H51" s="859"/>
      <c r="M51" s="501"/>
      <c r="N51" s="450"/>
    </row>
    <row r="52" spans="1:14" ht="18" customHeight="1" x14ac:dyDescent="0.25">
      <c r="A52" s="4">
        <v>2</v>
      </c>
      <c r="B52" s="502"/>
      <c r="E52" s="857"/>
      <c r="F52" s="858"/>
      <c r="G52" s="858"/>
      <c r="H52" s="859"/>
      <c r="M52" s="501"/>
      <c r="N52" s="450"/>
    </row>
    <row r="53" spans="1:14" ht="18" customHeight="1" x14ac:dyDescent="0.25">
      <c r="A53" s="4">
        <v>3</v>
      </c>
      <c r="B53" s="502"/>
      <c r="E53" s="857"/>
      <c r="F53" s="858"/>
      <c r="G53" s="858"/>
      <c r="H53" s="859"/>
      <c r="M53" s="501"/>
      <c r="N53" s="450"/>
    </row>
    <row r="54" spans="1:14" ht="18" customHeight="1" x14ac:dyDescent="0.25">
      <c r="A54" s="4">
        <v>4</v>
      </c>
      <c r="B54" s="502"/>
      <c r="E54" s="860"/>
      <c r="F54" s="861"/>
      <c r="G54" s="861"/>
      <c r="H54" s="862"/>
      <c r="M54" s="501"/>
      <c r="N54" s="450"/>
    </row>
    <row r="55" spans="1:14" ht="18" customHeight="1" x14ac:dyDescent="0.25">
      <c r="A55" s="4">
        <v>5</v>
      </c>
      <c r="B55" s="502"/>
      <c r="E55" s="452"/>
      <c r="F55" s="452"/>
      <c r="G55" s="452"/>
      <c r="H55" s="452"/>
      <c r="M55" s="501"/>
      <c r="N55" s="450"/>
    </row>
    <row r="56" spans="1:14" ht="18" customHeight="1" x14ac:dyDescent="0.25">
      <c r="A56" s="444"/>
      <c r="B56" s="498"/>
      <c r="C56" s="466" t="s">
        <v>677</v>
      </c>
      <c r="D56" s="365"/>
      <c r="E56" s="447"/>
      <c r="F56" s="447"/>
      <c r="G56" s="447"/>
      <c r="H56" s="451"/>
      <c r="I56" s="447"/>
      <c r="J56" s="447"/>
      <c r="M56" s="501"/>
      <c r="N56" s="450"/>
    </row>
    <row r="57" spans="1:14" ht="18" customHeight="1" x14ac:dyDescent="0.3">
      <c r="A57" s="447"/>
      <c r="B57" s="508"/>
      <c r="C57" s="447"/>
      <c r="D57" s="447"/>
      <c r="E57" s="678"/>
      <c r="F57" s="678"/>
      <c r="G57" s="679"/>
      <c r="H57" s="680"/>
      <c r="I57" s="509"/>
      <c r="J57" s="509"/>
      <c r="M57" s="501"/>
      <c r="N57" s="450"/>
    </row>
    <row r="58" spans="1:14" ht="21" x14ac:dyDescent="0.3">
      <c r="B58" s="502"/>
      <c r="E58" s="455"/>
      <c r="F58" s="455"/>
      <c r="G58" s="681"/>
      <c r="H58" s="678"/>
      <c r="I58" s="447"/>
      <c r="J58" s="447"/>
      <c r="K58" s="447"/>
      <c r="L58" s="447"/>
      <c r="M58" s="510"/>
    </row>
    <row r="59" spans="1:14" ht="18" customHeight="1" x14ac:dyDescent="0.25">
      <c r="A59" s="447"/>
      <c r="B59" s="508"/>
      <c r="C59" s="447"/>
      <c r="D59" s="447"/>
      <c r="E59" s="447"/>
      <c r="F59" s="447"/>
      <c r="G59" s="509"/>
      <c r="H59" s="509"/>
      <c r="I59" s="509"/>
      <c r="J59" s="509"/>
      <c r="M59" s="501"/>
      <c r="N59" s="450"/>
    </row>
    <row r="60" spans="1:14" ht="18" customHeight="1" x14ac:dyDescent="0.25">
      <c r="A60" s="447"/>
      <c r="B60" s="508"/>
      <c r="C60" s="447"/>
      <c r="D60" s="447"/>
      <c r="E60" s="447"/>
      <c r="F60" s="447"/>
      <c r="G60" s="447"/>
      <c r="H60" s="451"/>
      <c r="I60" s="447"/>
      <c r="J60" s="447"/>
      <c r="M60" s="501"/>
      <c r="N60" s="450"/>
    </row>
    <row r="61" spans="1:14" ht="18" customHeight="1" x14ac:dyDescent="0.25">
      <c r="A61" s="442"/>
      <c r="B61" s="511"/>
      <c r="C61" s="447"/>
      <c r="D61" s="447"/>
      <c r="E61" s="447"/>
      <c r="F61" s="447"/>
      <c r="G61" s="447"/>
      <c r="H61" s="451"/>
      <c r="I61" s="447"/>
      <c r="J61" s="447"/>
      <c r="M61" s="501"/>
      <c r="N61" s="450"/>
    </row>
    <row r="62" spans="1:14" ht="18" customHeight="1" x14ac:dyDescent="0.25">
      <c r="A62" s="442"/>
      <c r="B62" s="511"/>
      <c r="C62" s="447"/>
      <c r="D62" s="447"/>
      <c r="E62" s="447"/>
      <c r="F62" s="447"/>
      <c r="G62" s="447"/>
      <c r="H62" s="451"/>
      <c r="I62" s="447"/>
      <c r="J62" s="447"/>
      <c r="M62" s="501"/>
      <c r="N62" s="450"/>
    </row>
    <row r="63" spans="1:14" ht="18" customHeight="1" x14ac:dyDescent="0.25">
      <c r="A63" s="447"/>
      <c r="B63" s="512"/>
      <c r="C63" s="467" t="s">
        <v>678</v>
      </c>
      <c r="D63" s="456"/>
      <c r="E63" s="457"/>
      <c r="F63" s="458" t="s">
        <v>679</v>
      </c>
      <c r="G63" s="447"/>
      <c r="H63" s="451"/>
      <c r="I63" s="447"/>
      <c r="J63" s="447"/>
      <c r="M63" s="501"/>
      <c r="N63" s="450"/>
    </row>
    <row r="64" spans="1:14" ht="18" customHeight="1" x14ac:dyDescent="0.25">
      <c r="A64" s="447"/>
      <c r="B64" s="863"/>
      <c r="C64" s="864"/>
      <c r="D64" s="864"/>
      <c r="E64" s="864"/>
      <c r="F64" s="458">
        <f>'פרטי התאגיד'!G11</f>
        <v>2024</v>
      </c>
      <c r="G64" s="447"/>
      <c r="H64" s="451"/>
      <c r="I64" s="447"/>
      <c r="J64" s="447"/>
      <c r="M64" s="501"/>
      <c r="N64" s="450"/>
    </row>
    <row r="65" spans="1:14" ht="18" customHeight="1" x14ac:dyDescent="0.25">
      <c r="A65" s="447"/>
      <c r="B65" s="513"/>
      <c r="C65" s="446"/>
      <c r="D65" s="446"/>
      <c r="E65" s="865" t="s">
        <v>653</v>
      </c>
      <c r="F65" s="865"/>
      <c r="G65" s="447"/>
      <c r="H65" s="451"/>
      <c r="I65" s="447"/>
      <c r="J65" s="447"/>
      <c r="M65" s="501"/>
      <c r="N65" s="450"/>
    </row>
    <row r="66" spans="1:14" ht="18" customHeight="1" x14ac:dyDescent="0.25">
      <c r="A66" s="447"/>
      <c r="B66" s="508"/>
      <c r="C66" s="447"/>
      <c r="D66" s="447"/>
      <c r="E66" s="459" t="s">
        <v>654</v>
      </c>
      <c r="F66" s="460">
        <v>9002091</v>
      </c>
      <c r="G66" s="447"/>
      <c r="H66" s="451"/>
      <c r="I66" s="447"/>
      <c r="J66" s="447"/>
      <c r="M66" s="501"/>
      <c r="N66" s="450"/>
    </row>
    <row r="67" spans="1:14" ht="18" customHeight="1" x14ac:dyDescent="0.25">
      <c r="A67" s="447"/>
      <c r="B67" s="508"/>
      <c r="C67" s="447"/>
      <c r="D67" s="461"/>
      <c r="E67" s="459" t="s">
        <v>655</v>
      </c>
      <c r="F67" s="460">
        <f>F12</f>
        <v>0</v>
      </c>
      <c r="G67" s="447"/>
      <c r="H67" s="451"/>
      <c r="I67" s="447"/>
      <c r="J67" s="447"/>
      <c r="M67" s="501"/>
      <c r="N67" s="450"/>
    </row>
    <row r="68" spans="1:14" ht="18" customHeight="1" x14ac:dyDescent="0.25">
      <c r="A68" s="447"/>
      <c r="B68" s="508"/>
      <c r="C68" s="447"/>
      <c r="D68" s="461"/>
      <c r="E68" s="459" t="s">
        <v>656</v>
      </c>
      <c r="F68" s="460">
        <f>F13</f>
        <v>0</v>
      </c>
      <c r="G68" s="447"/>
      <c r="H68" s="447"/>
      <c r="I68" s="447"/>
      <c r="J68" s="447"/>
      <c r="K68" s="447"/>
      <c r="M68" s="501"/>
      <c r="N68" s="450"/>
    </row>
    <row r="69" spans="1:14" ht="18" customHeight="1" x14ac:dyDescent="0.25">
      <c r="A69" s="447"/>
      <c r="B69" s="508"/>
      <c r="C69" s="447"/>
      <c r="D69" s="461"/>
      <c r="E69" s="462" t="s">
        <v>657</v>
      </c>
      <c r="F69" s="463">
        <f>SUM(F66:F68)</f>
        <v>9002091</v>
      </c>
      <c r="G69" s="447"/>
      <c r="H69" s="447"/>
      <c r="I69" s="447"/>
      <c r="J69" s="447"/>
      <c r="K69" s="447"/>
      <c r="M69" s="501"/>
      <c r="N69" s="450"/>
    </row>
    <row r="70" spans="1:14" x14ac:dyDescent="0.25">
      <c r="A70" s="447"/>
      <c r="B70" s="508"/>
      <c r="C70" s="447"/>
      <c r="D70" s="447"/>
      <c r="E70" s="852" t="s">
        <v>658</v>
      </c>
      <c r="F70" s="852"/>
      <c r="G70" s="668" t="s">
        <v>680</v>
      </c>
      <c r="H70" s="667" t="s">
        <v>681</v>
      </c>
      <c r="I70" s="447"/>
      <c r="J70" s="447"/>
      <c r="K70" s="447"/>
      <c r="L70" s="447"/>
      <c r="M70" s="510"/>
    </row>
    <row r="71" spans="1:14" ht="18" customHeight="1" x14ac:dyDescent="0.25">
      <c r="A71" s="447"/>
      <c r="B71" s="508"/>
      <c r="C71" s="447"/>
      <c r="D71" s="447"/>
      <c r="E71" s="459" t="s">
        <v>682</v>
      </c>
      <c r="F71" s="460">
        <f>+F16</f>
        <v>4540527</v>
      </c>
      <c r="G71" s="674">
        <v>6.8540000000000001</v>
      </c>
      <c r="H71" s="460">
        <f t="shared" ref="H71:H84" si="0">+G71*F71</f>
        <v>31120772.058000002</v>
      </c>
      <c r="I71" s="451"/>
      <c r="J71" s="447"/>
      <c r="K71" s="447"/>
      <c r="L71" s="447"/>
      <c r="M71" s="510"/>
    </row>
    <row r="72" spans="1:14" ht="18" customHeight="1" x14ac:dyDescent="0.25">
      <c r="A72" s="447"/>
      <c r="B72" s="508"/>
      <c r="C72" s="447"/>
      <c r="D72" s="447"/>
      <c r="E72" s="459" t="s">
        <v>683</v>
      </c>
      <c r="F72" s="460">
        <f>+F17</f>
        <v>1820093</v>
      </c>
      <c r="G72" s="674">
        <v>12.582000000000001</v>
      </c>
      <c r="H72" s="460">
        <f t="shared" si="0"/>
        <v>22900410.126000002</v>
      </c>
      <c r="I72" s="451"/>
      <c r="J72" s="447"/>
      <c r="K72" s="447"/>
      <c r="L72" s="447"/>
      <c r="M72" s="510"/>
    </row>
    <row r="73" spans="1:14" ht="18" customHeight="1" x14ac:dyDescent="0.25">
      <c r="A73" s="447"/>
      <c r="B73" s="508"/>
      <c r="C73" s="447"/>
      <c r="D73" s="447"/>
      <c r="E73" s="459" t="s">
        <v>684</v>
      </c>
      <c r="F73" s="460">
        <f>+F22</f>
        <v>503600</v>
      </c>
      <c r="G73" s="675">
        <v>10.339</v>
      </c>
      <c r="H73" s="460">
        <f t="shared" si="0"/>
        <v>5206720.4000000004</v>
      </c>
      <c r="I73" s="451"/>
      <c r="J73" s="447"/>
      <c r="K73" s="447"/>
      <c r="L73" s="447"/>
      <c r="M73" s="510"/>
    </row>
    <row r="74" spans="1:14" ht="18" customHeight="1" x14ac:dyDescent="0.25">
      <c r="A74" s="447"/>
      <c r="B74" s="508"/>
      <c r="C74" s="447"/>
      <c r="D74" s="447"/>
      <c r="E74" s="459" t="s">
        <v>685</v>
      </c>
      <c r="F74" s="460">
        <f>+F23</f>
        <v>0</v>
      </c>
      <c r="G74" s="674"/>
      <c r="H74" s="460">
        <f t="shared" si="0"/>
        <v>0</v>
      </c>
      <c r="I74" s="451"/>
      <c r="J74" s="447"/>
      <c r="K74" s="447"/>
      <c r="L74" s="447"/>
      <c r="M74" s="510"/>
    </row>
    <row r="75" spans="1:14" ht="18" customHeight="1" x14ac:dyDescent="0.25">
      <c r="A75" s="447"/>
      <c r="B75" s="508"/>
      <c r="C75" s="447"/>
      <c r="D75" s="447"/>
      <c r="E75" s="459" t="s">
        <v>668</v>
      </c>
      <c r="F75" s="460">
        <f>+F25</f>
        <v>0</v>
      </c>
      <c r="G75" s="674"/>
      <c r="H75" s="460">
        <f t="shared" si="0"/>
        <v>0</v>
      </c>
      <c r="I75" s="451"/>
      <c r="J75" s="447"/>
      <c r="K75" s="447"/>
      <c r="L75" s="447"/>
      <c r="M75" s="510"/>
    </row>
    <row r="76" spans="1:14" ht="18" customHeight="1" x14ac:dyDescent="0.25">
      <c r="A76" s="447"/>
      <c r="B76" s="508"/>
      <c r="C76" s="447"/>
      <c r="D76" s="447"/>
      <c r="E76" s="459" t="s">
        <v>686</v>
      </c>
      <c r="F76" s="460">
        <f>+F24</f>
        <v>0</v>
      </c>
      <c r="G76" s="674"/>
      <c r="H76" s="460">
        <f t="shared" si="0"/>
        <v>0</v>
      </c>
      <c r="I76" s="451"/>
      <c r="J76" s="447"/>
      <c r="K76" s="447"/>
      <c r="L76" s="447"/>
      <c r="M76" s="510"/>
    </row>
    <row r="77" spans="1:14" ht="18" customHeight="1" x14ac:dyDescent="0.25">
      <c r="A77" s="447"/>
      <c r="B77" s="508"/>
      <c r="C77" s="447"/>
      <c r="D77" s="447"/>
      <c r="E77" s="459" t="s">
        <v>687</v>
      </c>
      <c r="F77" s="460">
        <f>+F19</f>
        <v>317886</v>
      </c>
      <c r="G77" s="674">
        <v>2.2309999999999999</v>
      </c>
      <c r="H77" s="460">
        <f t="shared" si="0"/>
        <v>709203.66599999997</v>
      </c>
      <c r="I77" s="451"/>
      <c r="J77" s="447"/>
      <c r="K77" s="447"/>
      <c r="L77" s="447"/>
      <c r="M77" s="510"/>
    </row>
    <row r="78" spans="1:14" ht="18" customHeight="1" x14ac:dyDescent="0.25">
      <c r="A78" s="447"/>
      <c r="B78" s="508"/>
      <c r="C78" s="447"/>
      <c r="D78" s="447"/>
      <c r="E78" s="459" t="s">
        <v>663</v>
      </c>
      <c r="F78" s="460">
        <f>+F20</f>
        <v>0</v>
      </c>
      <c r="G78" s="674"/>
      <c r="H78" s="460">
        <f t="shared" si="0"/>
        <v>0</v>
      </c>
      <c r="I78" s="451"/>
      <c r="J78" s="447"/>
      <c r="K78" s="447"/>
      <c r="L78" s="447"/>
      <c r="M78" s="510"/>
    </row>
    <row r="79" spans="1:14" ht="18" customHeight="1" x14ac:dyDescent="0.25">
      <c r="A79" s="447"/>
      <c r="B79" s="508"/>
      <c r="C79" s="447"/>
      <c r="D79" s="447"/>
      <c r="E79" s="459" t="s">
        <v>664</v>
      </c>
      <c r="F79" s="460">
        <f>+F21</f>
        <v>0</v>
      </c>
      <c r="G79" s="674"/>
      <c r="H79" s="460">
        <f t="shared" si="0"/>
        <v>0</v>
      </c>
      <c r="I79" s="451"/>
      <c r="J79" s="447"/>
      <c r="K79" s="447"/>
      <c r="L79" s="447"/>
      <c r="M79" s="510"/>
    </row>
    <row r="80" spans="1:14" ht="18" customHeight="1" x14ac:dyDescent="0.25">
      <c r="A80" s="447"/>
      <c r="B80" s="508"/>
      <c r="C80" s="447"/>
      <c r="D80" s="447"/>
      <c r="E80" s="459" t="s">
        <v>688</v>
      </c>
      <c r="F80" s="460">
        <f>+F18</f>
        <v>167167</v>
      </c>
      <c r="G80" s="675">
        <v>7.24</v>
      </c>
      <c r="H80" s="460">
        <f t="shared" si="0"/>
        <v>1210289.08</v>
      </c>
      <c r="I80" s="451"/>
      <c r="J80" s="447"/>
      <c r="K80" s="447"/>
      <c r="L80" s="447"/>
      <c r="M80" s="510"/>
    </row>
    <row r="81" spans="1:13" ht="18" customHeight="1" x14ac:dyDescent="0.25">
      <c r="A81" s="447"/>
      <c r="B81" s="508"/>
      <c r="C81" s="447"/>
      <c r="D81" s="447"/>
      <c r="E81" s="459" t="s">
        <v>669</v>
      </c>
      <c r="F81" s="460">
        <f>+F26</f>
        <v>505070</v>
      </c>
      <c r="G81" s="674">
        <v>12.597</v>
      </c>
      <c r="H81" s="460">
        <f t="shared" si="0"/>
        <v>6362366.79</v>
      </c>
      <c r="I81" s="451"/>
      <c r="J81" s="447"/>
      <c r="K81" s="447"/>
      <c r="L81" s="447"/>
      <c r="M81" s="510"/>
    </row>
    <row r="82" spans="1:13" ht="18" customHeight="1" x14ac:dyDescent="0.25">
      <c r="A82" s="447"/>
      <c r="B82" s="508"/>
      <c r="C82" s="447"/>
      <c r="D82" s="447"/>
      <c r="E82" s="459" t="s">
        <v>689</v>
      </c>
      <c r="F82" s="469"/>
      <c r="G82" s="674"/>
      <c r="H82" s="460">
        <f t="shared" si="0"/>
        <v>0</v>
      </c>
      <c r="I82" s="451"/>
      <c r="J82" s="447"/>
      <c r="K82" s="447"/>
      <c r="L82" s="447"/>
      <c r="M82" s="510"/>
    </row>
    <row r="83" spans="1:13" ht="18" customHeight="1" x14ac:dyDescent="0.25">
      <c r="A83" s="447"/>
      <c r="B83" s="508"/>
      <c r="C83" s="447"/>
      <c r="D83" s="447"/>
      <c r="E83" s="464" t="s">
        <v>670</v>
      </c>
      <c r="F83" s="469"/>
      <c r="G83" s="470"/>
      <c r="H83" s="460">
        <f t="shared" si="0"/>
        <v>0</v>
      </c>
      <c r="I83" s="451"/>
      <c r="J83" s="447"/>
      <c r="K83" s="447"/>
      <c r="L83" s="447"/>
      <c r="M83" s="510"/>
    </row>
    <row r="84" spans="1:13" ht="18" customHeight="1" x14ac:dyDescent="0.25">
      <c r="A84" s="447"/>
      <c r="B84" s="508"/>
      <c r="C84" s="447"/>
      <c r="D84" s="447"/>
      <c r="E84" s="464" t="s">
        <v>690</v>
      </c>
      <c r="F84" s="469"/>
      <c r="G84" s="674"/>
      <c r="H84" s="676">
        <f t="shared" si="0"/>
        <v>0</v>
      </c>
      <c r="I84" s="682"/>
      <c r="J84" s="447"/>
      <c r="K84" s="447"/>
      <c r="L84" s="447"/>
      <c r="M84" s="510"/>
    </row>
    <row r="85" spans="1:13" ht="18" customHeight="1" x14ac:dyDescent="0.25">
      <c r="A85" s="447"/>
      <c r="B85" s="508"/>
      <c r="C85" s="447"/>
      <c r="D85" s="447"/>
      <c r="E85" s="462" t="s">
        <v>671</v>
      </c>
      <c r="F85" s="339">
        <f>SUM(F71:F83)</f>
        <v>7854343</v>
      </c>
      <c r="G85" s="468"/>
      <c r="H85" s="677">
        <f>SUM(H71:H84)</f>
        <v>67509762.120000005</v>
      </c>
      <c r="I85" s="451"/>
      <c r="J85" s="447"/>
      <c r="K85" s="447"/>
      <c r="L85" s="447"/>
      <c r="M85" s="510"/>
    </row>
    <row r="86" spans="1:13" ht="18" customHeight="1" x14ac:dyDescent="0.25">
      <c r="A86" s="447"/>
      <c r="B86" s="508"/>
      <c r="C86" s="447"/>
      <c r="D86" s="447"/>
      <c r="E86" s="459" t="s">
        <v>672</v>
      </c>
      <c r="F86" s="460"/>
      <c r="G86" s="451"/>
      <c r="H86" s="451"/>
      <c r="I86" s="451"/>
      <c r="J86" s="447"/>
      <c r="K86" s="447"/>
      <c r="L86" s="447"/>
      <c r="M86" s="510"/>
    </row>
    <row r="87" spans="1:13" ht="18" customHeight="1" x14ac:dyDescent="0.25">
      <c r="A87" s="447"/>
      <c r="B87" s="508"/>
      <c r="C87" s="447"/>
      <c r="D87" s="447"/>
      <c r="E87" s="462" t="s">
        <v>673</v>
      </c>
      <c r="F87" s="339">
        <f>F85+F86</f>
        <v>7854343</v>
      </c>
      <c r="G87" s="451"/>
      <c r="H87" s="451"/>
      <c r="I87" s="451"/>
      <c r="J87" s="447"/>
      <c r="K87" s="447"/>
      <c r="L87" s="447"/>
      <c r="M87" s="510"/>
    </row>
    <row r="88" spans="1:13" ht="18" customHeight="1" x14ac:dyDescent="0.25">
      <c r="A88" s="447"/>
      <c r="B88" s="508"/>
      <c r="C88" s="447"/>
      <c r="D88" s="447"/>
      <c r="E88" s="462"/>
      <c r="F88" s="666"/>
      <c r="G88" s="666"/>
      <c r="H88" s="451"/>
      <c r="I88" s="451"/>
      <c r="J88" s="447"/>
      <c r="K88" s="447"/>
      <c r="L88" s="447"/>
      <c r="M88" s="510"/>
    </row>
    <row r="89" spans="1:13" ht="18" customHeight="1" x14ac:dyDescent="0.25">
      <c r="A89" s="447"/>
      <c r="B89" s="508"/>
      <c r="C89" s="447"/>
      <c r="D89" s="447"/>
      <c r="E89" s="462" t="s">
        <v>674</v>
      </c>
      <c r="F89" s="339">
        <f>F69-F87</f>
        <v>1147748</v>
      </c>
      <c r="G89" s="451"/>
      <c r="H89" s="451"/>
      <c r="I89" s="451"/>
      <c r="J89" s="447"/>
      <c r="K89" s="447"/>
      <c r="L89" s="447"/>
      <c r="M89" s="510"/>
    </row>
    <row r="90" spans="1:13" ht="18" customHeight="1" x14ac:dyDescent="0.25">
      <c r="A90" s="447"/>
      <c r="B90" s="508"/>
      <c r="C90" s="447"/>
      <c r="D90" s="447"/>
      <c r="E90" s="462"/>
      <c r="F90" s="451"/>
      <c r="G90" s="451"/>
      <c r="H90" s="451"/>
      <c r="I90" s="451"/>
      <c r="J90" s="447"/>
      <c r="K90" s="447"/>
      <c r="L90" s="447"/>
      <c r="M90" s="510"/>
    </row>
    <row r="91" spans="1:13" ht="18" customHeight="1" x14ac:dyDescent="0.25">
      <c r="A91" s="447"/>
      <c r="B91" s="508"/>
      <c r="C91" s="447"/>
      <c r="D91" s="447"/>
      <c r="E91" s="462" t="s">
        <v>675</v>
      </c>
      <c r="F91" s="709">
        <f>IFERROR(F89/F69,0)</f>
        <v>0.1274979335356641</v>
      </c>
      <c r="G91" s="451"/>
      <c r="H91" s="451"/>
      <c r="I91" s="451"/>
      <c r="J91" s="447"/>
      <c r="K91" s="447"/>
      <c r="L91" s="447"/>
      <c r="M91" s="510"/>
    </row>
    <row r="92" spans="1:13" ht="18" customHeight="1" x14ac:dyDescent="0.25">
      <c r="B92" s="502"/>
      <c r="E92" s="452"/>
      <c r="F92" s="452"/>
      <c r="G92" s="452"/>
      <c r="H92" s="452"/>
      <c r="I92" s="447"/>
      <c r="J92" s="447"/>
      <c r="K92" s="447"/>
      <c r="L92" s="447"/>
      <c r="M92" s="510"/>
    </row>
    <row r="93" spans="1:13" ht="18" customHeight="1" x14ac:dyDescent="0.25">
      <c r="B93" s="502"/>
      <c r="I93" s="447"/>
      <c r="J93" s="447"/>
      <c r="K93" s="447"/>
      <c r="L93" s="447"/>
      <c r="M93" s="510"/>
    </row>
    <row r="94" spans="1:13" ht="18" customHeight="1" x14ac:dyDescent="0.25">
      <c r="B94" s="502"/>
      <c r="I94" s="447"/>
      <c r="J94" s="447"/>
      <c r="K94" s="447"/>
      <c r="L94" s="447"/>
      <c r="M94" s="510"/>
    </row>
    <row r="95" spans="1:13" ht="18" customHeight="1" x14ac:dyDescent="0.25">
      <c r="B95" s="502"/>
      <c r="F95" s="503"/>
      <c r="G95" s="514"/>
      <c r="M95" s="501"/>
    </row>
    <row r="96" spans="1:13" ht="18.75" x14ac:dyDescent="0.25">
      <c r="B96" s="498"/>
      <c r="C96" s="466" t="s">
        <v>691</v>
      </c>
      <c r="D96" s="466"/>
      <c r="E96" s="444"/>
      <c r="F96" s="445"/>
      <c r="G96" s="242"/>
      <c r="H96" s="242"/>
      <c r="I96" s="242"/>
      <c r="J96" s="242"/>
      <c r="K96" s="242"/>
      <c r="L96" s="242"/>
      <c r="M96" s="499"/>
    </row>
    <row r="97" spans="2:13" x14ac:dyDescent="0.25">
      <c r="B97" s="502"/>
      <c r="M97" s="501"/>
    </row>
    <row r="98" spans="2:13" x14ac:dyDescent="0.25">
      <c r="B98" s="502"/>
      <c r="M98" s="501"/>
    </row>
    <row r="99" spans="2:13" s="454" customFormat="1" ht="18.75" x14ac:dyDescent="0.3">
      <c r="B99" s="515" t="s">
        <v>281</v>
      </c>
      <c r="C99" s="516" t="s">
        <v>692</v>
      </c>
      <c r="D99" s="516"/>
      <c r="E99" s="516"/>
      <c r="F99" s="455"/>
      <c r="G99" s="455"/>
      <c r="H99" s="455"/>
      <c r="I99" s="455"/>
      <c r="M99" s="517"/>
    </row>
    <row r="100" spans="2:13" x14ac:dyDescent="0.25">
      <c r="B100" s="502"/>
      <c r="M100" s="501"/>
    </row>
    <row r="101" spans="2:13" ht="47.25" x14ac:dyDescent="0.25">
      <c r="B101" s="502"/>
      <c r="C101" s="474" t="s">
        <v>693</v>
      </c>
      <c r="D101" s="475" t="s">
        <v>694</v>
      </c>
      <c r="E101" s="475" t="s">
        <v>695</v>
      </c>
      <c r="F101" s="475" t="s">
        <v>696</v>
      </c>
      <c r="G101" s="475" t="s">
        <v>697</v>
      </c>
      <c r="H101" s="475" t="s">
        <v>698</v>
      </c>
      <c r="I101" s="475" t="s">
        <v>819</v>
      </c>
      <c r="J101" s="475" t="s">
        <v>699</v>
      </c>
      <c r="K101" s="488"/>
      <c r="M101" s="501"/>
    </row>
    <row r="102" spans="2:13" x14ac:dyDescent="0.25">
      <c r="B102" s="502"/>
      <c r="C102" s="489">
        <f>C103-1</f>
        <v>2021</v>
      </c>
      <c r="D102" s="334">
        <v>61736</v>
      </c>
      <c r="E102" s="334"/>
      <c r="F102" s="334"/>
      <c r="G102" s="334"/>
      <c r="H102" s="487">
        <f>D102+E102+F102-G102</f>
        <v>61736</v>
      </c>
      <c r="I102" s="334">
        <v>52799</v>
      </c>
      <c r="J102" s="710">
        <f>IFERROR(I102/H102,0)</f>
        <v>0.85523843462485427</v>
      </c>
      <c r="K102" s="490"/>
      <c r="M102" s="501"/>
    </row>
    <row r="103" spans="2:13" x14ac:dyDescent="0.25">
      <c r="B103" s="502"/>
      <c r="C103" s="489">
        <f>C104-1</f>
        <v>2022</v>
      </c>
      <c r="D103" s="334">
        <v>64975</v>
      </c>
      <c r="E103" s="334"/>
      <c r="F103" s="334"/>
      <c r="G103" s="334"/>
      <c r="H103" s="487">
        <f t="shared" ref="H103:H105" si="1">D103+E103+F103-G103</f>
        <v>64975</v>
      </c>
      <c r="I103" s="334">
        <v>54503</v>
      </c>
      <c r="J103" s="710">
        <f>IFERROR(I103/H103,0)</f>
        <v>0.83883031935359753</v>
      </c>
      <c r="K103" s="490"/>
      <c r="M103" s="501"/>
    </row>
    <row r="104" spans="2:13" x14ac:dyDescent="0.25">
      <c r="B104" s="502"/>
      <c r="C104" s="489">
        <f>C105-1</f>
        <v>2023</v>
      </c>
      <c r="D104" s="334">
        <v>71886</v>
      </c>
      <c r="E104" s="334"/>
      <c r="F104" s="334"/>
      <c r="G104" s="334"/>
      <c r="H104" s="487">
        <f t="shared" si="1"/>
        <v>71886</v>
      </c>
      <c r="I104" s="334">
        <v>58876</v>
      </c>
      <c r="J104" s="710">
        <f>IFERROR(I104/H104,0)</f>
        <v>0.81901900230921176</v>
      </c>
      <c r="K104" s="490"/>
      <c r="M104" s="501"/>
    </row>
    <row r="105" spans="2:13" x14ac:dyDescent="0.25">
      <c r="B105" s="502"/>
      <c r="C105" s="491" t="str">
        <f>RIGHT('פרטי התאגיד'!$G$11,4)</f>
        <v>2024</v>
      </c>
      <c r="D105" s="492">
        <v>76989</v>
      </c>
      <c r="E105" s="492"/>
      <c r="F105" s="492"/>
      <c r="G105" s="492"/>
      <c r="H105" s="493">
        <f t="shared" si="1"/>
        <v>76989</v>
      </c>
      <c r="I105" s="492">
        <v>64632</v>
      </c>
      <c r="J105" s="711">
        <f>IFERROR(I105/H105,0)</f>
        <v>0.8394965514554027</v>
      </c>
      <c r="K105" s="494"/>
      <c r="M105" s="501"/>
    </row>
    <row r="106" spans="2:13" x14ac:dyDescent="0.25">
      <c r="B106" s="502"/>
      <c r="M106" s="501"/>
    </row>
    <row r="107" spans="2:13" x14ac:dyDescent="0.25">
      <c r="B107" s="502"/>
      <c r="M107" s="501"/>
    </row>
    <row r="108" spans="2:13" x14ac:dyDescent="0.25">
      <c r="B108" s="502"/>
      <c r="M108" s="501"/>
    </row>
    <row r="109" spans="2:13" x14ac:dyDescent="0.25">
      <c r="B109" s="502"/>
      <c r="M109" s="501"/>
    </row>
    <row r="110" spans="2:13" x14ac:dyDescent="0.25">
      <c r="B110" s="502"/>
      <c r="M110" s="501"/>
    </row>
    <row r="111" spans="2:13" x14ac:dyDescent="0.25">
      <c r="B111" s="502"/>
      <c r="M111" s="501"/>
    </row>
    <row r="112" spans="2:13" s="454" customFormat="1" ht="18.75" x14ac:dyDescent="0.3">
      <c r="B112" s="515" t="s">
        <v>287</v>
      </c>
      <c r="C112" s="516" t="s">
        <v>700</v>
      </c>
      <c r="D112" s="518"/>
      <c r="E112" s="518"/>
      <c r="F112" s="519"/>
      <c r="G112" s="519"/>
      <c r="H112" s="519"/>
      <c r="I112" s="519"/>
      <c r="M112" s="517"/>
    </row>
    <row r="113" spans="2:13" x14ac:dyDescent="0.25">
      <c r="B113" s="502"/>
      <c r="M113" s="501"/>
    </row>
    <row r="114" spans="2:13" ht="47.25" x14ac:dyDescent="0.25">
      <c r="B114" s="502" t="s">
        <v>701</v>
      </c>
      <c r="C114" s="474" t="s">
        <v>693</v>
      </c>
      <c r="D114" s="475" t="s">
        <v>702</v>
      </c>
      <c r="E114" s="476" t="s">
        <v>695</v>
      </c>
      <c r="F114" s="476" t="str">
        <f>"ריבית צרכנים בגין חיובי אותה שנה נכון ל " &amp;CONCATENATE("31.12.",RIGHT('פרטי התאגיד'!G11,4))</f>
        <v>ריבית צרכנים בגין חיובי אותה שנה נכון ל 31.12.2024</v>
      </c>
      <c r="G114" s="475" t="str">
        <f>"סך גביה כולל ריבית לאותה שנה נכון ליום  "&amp;CONCATENATE("31.12.",RIGHT('פרטי התאגיד'!G11,4))</f>
        <v>סך גביה כולל ריבית לאותה שנה נכון ליום  31.12.2024</v>
      </c>
      <c r="H114" s="475" t="str">
        <f>"יתרת חייבים לא כולל מעמ וכולל ריבית שנובעת מחיובי אותה שנה נכון ל "  &amp;CONCATENATE("31.12.",RIGHT('פרטי התאגיד'!G11,4))</f>
        <v>יתרת חייבים לא כולל מעמ וכולל ריבית שנובעת מחיובי אותה שנה נכון ל 31.12.2024</v>
      </c>
      <c r="I114" s="475" t="str">
        <f>"אחוז גביה מצטבר לאותה שנה נכון ל " &amp;CONCATENATE("31.12.",RIGHT('פרטי התאגיד'!G11,4))</f>
        <v>אחוז גביה מצטבר לאותה שנה נכון ל 31.12.2024</v>
      </c>
      <c r="J114" s="475" t="s">
        <v>703</v>
      </c>
      <c r="K114" s="477" t="s">
        <v>704</v>
      </c>
      <c r="M114" s="501"/>
    </row>
    <row r="115" spans="2:13" s="47" customFormat="1" ht="31.5" x14ac:dyDescent="0.2">
      <c r="B115" s="520">
        <v>1</v>
      </c>
      <c r="C115" s="478" t="str">
        <f>"יתרת לקוחות ל-31.12."&amp;C116-1</f>
        <v>יתרת לקוחות ל-31.12.2020</v>
      </c>
      <c r="D115" s="323">
        <v>186955</v>
      </c>
      <c r="E115" s="323"/>
      <c r="F115" s="354"/>
      <c r="G115" s="323">
        <f>186955-384</f>
        <v>186571</v>
      </c>
      <c r="H115" s="40">
        <f>D115+E115+F115-G115</f>
        <v>384</v>
      </c>
      <c r="I115" s="669"/>
      <c r="J115" s="40">
        <f>H115</f>
        <v>384</v>
      </c>
      <c r="K115" s="672">
        <v>1</v>
      </c>
      <c r="L115" s="32"/>
      <c r="M115" s="521"/>
    </row>
    <row r="116" spans="2:13" s="47" customFormat="1" x14ac:dyDescent="0.2">
      <c r="B116" s="520">
        <v>1</v>
      </c>
      <c r="C116" s="485">
        <f>C117-1</f>
        <v>2021</v>
      </c>
      <c r="D116" s="473">
        <f>H102</f>
        <v>61736</v>
      </c>
      <c r="E116" s="323"/>
      <c r="F116" s="354"/>
      <c r="G116" s="323">
        <f>61736-823</f>
        <v>60913</v>
      </c>
      <c r="H116" s="40">
        <f t="shared" ref="H116:H119" si="2">D116+E116+F116-G116</f>
        <v>823</v>
      </c>
      <c r="I116" s="670">
        <f>G116/(D116+F116)</f>
        <v>0.98666904237397957</v>
      </c>
      <c r="J116" s="40">
        <f>H116</f>
        <v>823</v>
      </c>
      <c r="K116" s="672">
        <v>1</v>
      </c>
      <c r="L116" s="32"/>
      <c r="M116" s="521"/>
    </row>
    <row r="117" spans="2:13" s="47" customFormat="1" ht="15.75" customHeight="1" x14ac:dyDescent="0.2">
      <c r="B117" s="848" t="s">
        <v>705</v>
      </c>
      <c r="C117" s="485">
        <f>C118-1</f>
        <v>2022</v>
      </c>
      <c r="D117" s="473">
        <f>H103</f>
        <v>64975</v>
      </c>
      <c r="E117" s="323"/>
      <c r="F117" s="354"/>
      <c r="G117" s="323">
        <f>64975-1937</f>
        <v>63038</v>
      </c>
      <c r="H117" s="40">
        <f t="shared" si="2"/>
        <v>1937</v>
      </c>
      <c r="I117" s="670">
        <f>G117/(D117+F117)</f>
        <v>0.97018853405155825</v>
      </c>
      <c r="J117" s="40">
        <f>($L$117)*(D117+E117+F117)</f>
        <v>2599</v>
      </c>
      <c r="K117" s="712">
        <f>IFERROR((1-MAX(I116:I119)),0)</f>
        <v>1.3330957626020434E-2</v>
      </c>
      <c r="L117" s="673">
        <v>0.04</v>
      </c>
      <c r="M117" s="522" t="s">
        <v>706</v>
      </c>
    </row>
    <row r="118" spans="2:13" s="47" customFormat="1" x14ac:dyDescent="0.2">
      <c r="B118" s="848"/>
      <c r="C118" s="485">
        <f>C119-1</f>
        <v>2023</v>
      </c>
      <c r="D118" s="473">
        <f>H104</f>
        <v>71886</v>
      </c>
      <c r="E118" s="323"/>
      <c r="F118" s="354"/>
      <c r="G118" s="323">
        <f>71886-3599</f>
        <v>68287</v>
      </c>
      <c r="H118" s="40">
        <f t="shared" si="2"/>
        <v>3599</v>
      </c>
      <c r="I118" s="670">
        <f>G118/(D118+F118)</f>
        <v>0.94993461870183349</v>
      </c>
      <c r="J118" s="40">
        <f t="shared" ref="J118:J119" si="3">($L$117)*(D118+E118+F118)</f>
        <v>2875.44</v>
      </c>
      <c r="K118" s="479"/>
      <c r="L118" s="32"/>
      <c r="M118" s="521"/>
    </row>
    <row r="119" spans="2:13" s="47" customFormat="1" x14ac:dyDescent="0.2">
      <c r="B119" s="848"/>
      <c r="C119" s="485" t="str">
        <f>RIGHT('פרטי התאגיד'!$G$11,4)</f>
        <v>2024</v>
      </c>
      <c r="D119" s="473">
        <f>H105</f>
        <v>76989</v>
      </c>
      <c r="E119" s="323"/>
      <c r="F119" s="354"/>
      <c r="G119" s="473">
        <f>I105</f>
        <v>64632</v>
      </c>
      <c r="H119" s="40">
        <f t="shared" si="2"/>
        <v>12357</v>
      </c>
      <c r="I119" s="670">
        <f>G119/(D119+F119)</f>
        <v>0.8394965514554027</v>
      </c>
      <c r="J119" s="40">
        <f t="shared" si="3"/>
        <v>3079.56</v>
      </c>
      <c r="K119" s="479"/>
      <c r="L119" s="32"/>
      <c r="M119" s="521"/>
    </row>
    <row r="120" spans="2:13" s="47" customFormat="1" x14ac:dyDescent="0.2">
      <c r="B120" s="523"/>
      <c r="C120" s="486" t="s">
        <v>138</v>
      </c>
      <c r="D120" s="480">
        <f>SUM(D115:D119)</f>
        <v>462541</v>
      </c>
      <c r="E120" s="480">
        <f>SUM(E115:E119)</f>
        <v>0</v>
      </c>
      <c r="F120" s="480">
        <f>SUM(F115:F119)</f>
        <v>0</v>
      </c>
      <c r="G120" s="480">
        <f>SUM(G115:G119)</f>
        <v>443441</v>
      </c>
      <c r="H120" s="480">
        <f>SUM(H115:H119)</f>
        <v>19100</v>
      </c>
      <c r="I120" s="671"/>
      <c r="J120" s="480">
        <f>SUM(J115:J119)</f>
        <v>9761</v>
      </c>
      <c r="K120" s="481"/>
      <c r="L120" s="32"/>
      <c r="M120" s="521"/>
    </row>
    <row r="121" spans="2:13" s="47" customFormat="1" x14ac:dyDescent="0.2">
      <c r="B121" s="523"/>
      <c r="L121" s="32"/>
      <c r="M121" s="521"/>
    </row>
    <row r="122" spans="2:13" x14ac:dyDescent="0.25">
      <c r="B122" s="502"/>
      <c r="L122" s="31"/>
      <c r="M122" s="524"/>
    </row>
    <row r="123" spans="2:13" x14ac:dyDescent="0.25">
      <c r="B123" s="502"/>
      <c r="M123" s="501"/>
    </row>
    <row r="124" spans="2:13" x14ac:dyDescent="0.25">
      <c r="B124" s="502"/>
      <c r="G124" s="483">
        <f>'פרטי התאגיד'!G11</f>
        <v>2024</v>
      </c>
      <c r="H124" s="31" t="s">
        <v>707</v>
      </c>
      <c r="I124" s="480">
        <f>J120</f>
        <v>9761</v>
      </c>
      <c r="M124" s="501"/>
    </row>
    <row r="125" spans="2:13" ht="31.5" x14ac:dyDescent="0.25">
      <c r="B125" s="502"/>
      <c r="G125" s="22"/>
      <c r="H125" s="482" t="s">
        <v>708</v>
      </c>
      <c r="I125" s="330"/>
      <c r="M125" s="501"/>
    </row>
    <row r="126" spans="2:13" ht="27.75" customHeight="1" x14ac:dyDescent="0.25">
      <c r="B126" s="849"/>
      <c r="C126" s="850"/>
      <c r="D126" s="850"/>
      <c r="E126" s="525" t="s">
        <v>709</v>
      </c>
      <c r="G126" s="472">
        <f>H120</f>
        <v>19100</v>
      </c>
      <c r="H126" s="482" t="s">
        <v>710</v>
      </c>
      <c r="I126" s="330">
        <v>7040</v>
      </c>
      <c r="M126" s="501"/>
    </row>
    <row r="127" spans="2:13" x14ac:dyDescent="0.25">
      <c r="B127" s="526"/>
      <c r="C127" s="31"/>
      <c r="D127" s="31"/>
      <c r="E127" s="31"/>
      <c r="H127" s="31" t="s">
        <v>711</v>
      </c>
      <c r="I127" s="480">
        <f>I124+I125+I126</f>
        <v>16801</v>
      </c>
      <c r="M127" s="501"/>
    </row>
    <row r="128" spans="2:13" x14ac:dyDescent="0.25">
      <c r="B128" s="526"/>
      <c r="C128" s="31"/>
      <c r="D128" s="31"/>
      <c r="E128" s="31" t="s">
        <v>712</v>
      </c>
      <c r="G128" s="472">
        <f>'ביאורים 1-9'!H220</f>
        <v>29778</v>
      </c>
      <c r="H128" s="31"/>
      <c r="M128" s="501"/>
    </row>
    <row r="129" spans="2:13" x14ac:dyDescent="0.25">
      <c r="B129" s="526"/>
      <c r="C129" s="31"/>
      <c r="D129" s="31"/>
      <c r="E129" s="31"/>
      <c r="H129" s="31" t="str">
        <f xml:space="preserve"> "יתרה בדוח הכספי " &amp;CONCATENATE("31.12.",RIGHT('פרטי התאגיד'!G11,4))</f>
        <v>יתרה בדוח הכספי 31.12.2024</v>
      </c>
      <c r="I129" s="484">
        <f>'ביאורים 1-9'!H225</f>
        <v>-16801</v>
      </c>
      <c r="M129" s="501"/>
    </row>
    <row r="130" spans="2:13" x14ac:dyDescent="0.25">
      <c r="B130" s="526"/>
      <c r="C130" s="31"/>
      <c r="D130" s="31"/>
      <c r="E130" s="31" t="s">
        <v>713</v>
      </c>
      <c r="G130" s="480">
        <f>G126-G128</f>
        <v>-10678</v>
      </c>
      <c r="H130" s="31"/>
      <c r="M130" s="501"/>
    </row>
    <row r="131" spans="2:13" x14ac:dyDescent="0.25">
      <c r="B131" s="526"/>
      <c r="C131" s="31"/>
      <c r="D131" s="31"/>
      <c r="E131" s="4" t="s">
        <v>714</v>
      </c>
      <c r="G131" s="334">
        <v>1339</v>
      </c>
      <c r="H131" s="31" t="s">
        <v>713</v>
      </c>
      <c r="I131" s="480">
        <f>I127+I129</f>
        <v>0</v>
      </c>
      <c r="M131" s="501"/>
    </row>
    <row r="132" spans="2:13" x14ac:dyDescent="0.25">
      <c r="B132" s="502"/>
      <c r="E132" s="4" t="s">
        <v>715</v>
      </c>
      <c r="G132" s="334">
        <v>9339</v>
      </c>
      <c r="M132" s="501"/>
    </row>
    <row r="133" spans="2:13" x14ac:dyDescent="0.25">
      <c r="B133" s="502"/>
      <c r="M133" s="501"/>
    </row>
    <row r="134" spans="2:13" x14ac:dyDescent="0.25">
      <c r="B134" s="502"/>
      <c r="M134" s="501"/>
    </row>
    <row r="135" spans="2:13" x14ac:dyDescent="0.25">
      <c r="B135" s="502"/>
      <c r="E135" s="4" t="s">
        <v>716</v>
      </c>
      <c r="G135" s="330">
        <v>64632</v>
      </c>
      <c r="M135" s="501"/>
    </row>
    <row r="136" spans="2:13" x14ac:dyDescent="0.25">
      <c r="B136" s="502"/>
      <c r="E136" s="4" t="s">
        <v>717</v>
      </c>
      <c r="G136" s="330">
        <f>75881-64632</f>
        <v>11249</v>
      </c>
      <c r="M136" s="501"/>
    </row>
    <row r="137" spans="2:13" x14ac:dyDescent="0.25">
      <c r="B137" s="502"/>
      <c r="E137" s="4" t="s">
        <v>718</v>
      </c>
      <c r="G137" s="330"/>
      <c r="M137" s="501"/>
    </row>
    <row r="138" spans="2:13" x14ac:dyDescent="0.25">
      <c r="B138" s="502"/>
      <c r="E138" s="4" t="str">
        <f>"סה''כ גביייה בשנת "&amp;RIGHT('פרטי התאגיד'!G11,4)</f>
        <v>סה''כ גביייה בשנת 2024</v>
      </c>
      <c r="G138" s="480">
        <f>SUM(G135:G137)</f>
        <v>75881</v>
      </c>
      <c r="M138" s="501"/>
    </row>
    <row r="139" spans="2:13" x14ac:dyDescent="0.25">
      <c r="B139" s="502"/>
      <c r="M139" s="501"/>
    </row>
    <row r="140" spans="2:13" x14ac:dyDescent="0.25">
      <c r="B140" s="502"/>
      <c r="M140" s="501"/>
    </row>
    <row r="141" spans="2:13" ht="16.5" customHeight="1" x14ac:dyDescent="0.25">
      <c r="B141" s="502"/>
      <c r="C141" s="242"/>
      <c r="D141" s="31"/>
      <c r="E141" s="31"/>
      <c r="F141" s="31"/>
      <c r="G141" s="31"/>
      <c r="M141" s="501"/>
    </row>
    <row r="142" spans="2:13" x14ac:dyDescent="0.25">
      <c r="B142" s="502"/>
      <c r="M142" s="501"/>
    </row>
    <row r="143" spans="2:13" x14ac:dyDescent="0.25">
      <c r="B143" s="502"/>
      <c r="D143" s="86"/>
      <c r="E143" s="443"/>
      <c r="F143" s="86"/>
      <c r="G143" s="441"/>
      <c r="M143" s="501"/>
    </row>
    <row r="144" spans="2:13" ht="18.75" x14ac:dyDescent="0.25">
      <c r="B144" s="498"/>
      <c r="C144" s="466" t="s">
        <v>719</v>
      </c>
      <c r="D144" s="365"/>
      <c r="E144" s="444"/>
      <c r="M144" s="501"/>
    </row>
    <row r="145" spans="2:13" x14ac:dyDescent="0.25">
      <c r="B145" s="527"/>
      <c r="C145" s="448"/>
      <c r="D145" s="448"/>
      <c r="E145" s="448"/>
      <c r="F145" s="242"/>
      <c r="M145" s="501"/>
    </row>
    <row r="146" spans="2:13" x14ac:dyDescent="0.25">
      <c r="B146" s="502"/>
      <c r="C146" s="444" t="s">
        <v>720</v>
      </c>
      <c r="D146" s="444"/>
      <c r="E146" s="444"/>
      <c r="F146" s="242"/>
      <c r="G146" s="242"/>
      <c r="M146" s="501"/>
    </row>
    <row r="147" spans="2:13" ht="12.75" customHeight="1" x14ac:dyDescent="0.25">
      <c r="B147" s="502"/>
      <c r="C147" s="839" t="s">
        <v>893</v>
      </c>
      <c r="D147" s="840"/>
      <c r="E147" s="840"/>
      <c r="F147" s="840"/>
      <c r="G147" s="840"/>
      <c r="H147" s="840"/>
      <c r="I147" s="841"/>
      <c r="J147" s="528"/>
      <c r="K147" s="528"/>
      <c r="L147" s="528"/>
      <c r="M147" s="501"/>
    </row>
    <row r="148" spans="2:13" ht="12.75" customHeight="1" x14ac:dyDescent="0.25">
      <c r="B148" s="502"/>
      <c r="C148" s="842"/>
      <c r="D148" s="843"/>
      <c r="E148" s="843"/>
      <c r="F148" s="843"/>
      <c r="G148" s="843"/>
      <c r="H148" s="843"/>
      <c r="I148" s="844"/>
      <c r="J148" s="528"/>
      <c r="K148" s="528"/>
      <c r="L148" s="528"/>
      <c r="M148" s="501"/>
    </row>
    <row r="149" spans="2:13" ht="12.75" customHeight="1" x14ac:dyDescent="0.25">
      <c r="B149" s="502"/>
      <c r="C149" s="842"/>
      <c r="D149" s="843"/>
      <c r="E149" s="843"/>
      <c r="F149" s="843"/>
      <c r="G149" s="843"/>
      <c r="H149" s="843"/>
      <c r="I149" s="844"/>
      <c r="J149" s="528"/>
      <c r="K149" s="528"/>
      <c r="L149" s="528"/>
      <c r="M149" s="501"/>
    </row>
    <row r="150" spans="2:13" ht="12.75" customHeight="1" x14ac:dyDescent="0.25">
      <c r="B150" s="502"/>
      <c r="C150" s="842"/>
      <c r="D150" s="843"/>
      <c r="E150" s="843"/>
      <c r="F150" s="843"/>
      <c r="G150" s="843"/>
      <c r="H150" s="843"/>
      <c r="I150" s="844"/>
      <c r="J150" s="528"/>
      <c r="K150" s="528"/>
      <c r="L150" s="528"/>
      <c r="M150" s="501"/>
    </row>
    <row r="151" spans="2:13" ht="12.75" customHeight="1" x14ac:dyDescent="0.25">
      <c r="B151" s="502"/>
      <c r="C151" s="845"/>
      <c r="D151" s="846"/>
      <c r="E151" s="846"/>
      <c r="F151" s="846"/>
      <c r="G151" s="846"/>
      <c r="H151" s="846"/>
      <c r="I151" s="847"/>
      <c r="J151" s="528"/>
      <c r="K151" s="528"/>
      <c r="L151" s="528"/>
      <c r="M151" s="501"/>
    </row>
    <row r="152" spans="2:13" x14ac:dyDescent="0.25">
      <c r="B152" s="502"/>
      <c r="J152" s="528"/>
      <c r="K152" s="528"/>
      <c r="L152" s="528"/>
      <c r="M152" s="501"/>
    </row>
    <row r="153" spans="2:13" x14ac:dyDescent="0.25">
      <c r="B153" s="502"/>
      <c r="C153" s="4" t="s">
        <v>721</v>
      </c>
      <c r="F153" s="343">
        <f>'פרטי התאגיד'!G11</f>
        <v>2024</v>
      </c>
      <c r="G153" s="471"/>
      <c r="J153" s="851"/>
      <c r="K153" s="851"/>
      <c r="L153" s="851"/>
      <c r="M153" s="501"/>
    </row>
    <row r="154" spans="2:13" x14ac:dyDescent="0.25">
      <c r="B154" s="502"/>
      <c r="F154" s="343"/>
      <c r="G154" s="529"/>
      <c r="J154" s="346"/>
      <c r="K154" s="346"/>
      <c r="L154" s="346"/>
      <c r="M154" s="501"/>
    </row>
    <row r="155" spans="2:13" x14ac:dyDescent="0.25">
      <c r="B155" s="502"/>
      <c r="C155" s="4" t="s">
        <v>721</v>
      </c>
      <c r="F155" s="343">
        <f>'פרטי התאגיד'!G13</f>
        <v>2023</v>
      </c>
      <c r="G155" s="471"/>
      <c r="J155" s="346"/>
      <c r="K155" s="346"/>
      <c r="L155" s="346"/>
      <c r="M155" s="501"/>
    </row>
    <row r="156" spans="2:13" x14ac:dyDescent="0.25">
      <c r="B156" s="502"/>
      <c r="G156" s="529"/>
      <c r="M156" s="501"/>
    </row>
    <row r="157" spans="2:13" x14ac:dyDescent="0.25">
      <c r="B157" s="502"/>
      <c r="C157" s="4" t="s">
        <v>722</v>
      </c>
      <c r="G157" s="471"/>
      <c r="M157" s="501"/>
    </row>
    <row r="158" spans="2:13" x14ac:dyDescent="0.25">
      <c r="B158" s="502"/>
      <c r="G158" s="529"/>
      <c r="M158" s="501"/>
    </row>
    <row r="159" spans="2:13" x14ac:dyDescent="0.25">
      <c r="B159" s="502"/>
      <c r="C159" s="4" t="s">
        <v>723</v>
      </c>
      <c r="G159" s="471"/>
      <c r="M159" s="501"/>
    </row>
    <row r="160" spans="2:13" x14ac:dyDescent="0.25">
      <c r="B160" s="502"/>
      <c r="M160" s="501"/>
    </row>
    <row r="161" spans="2:13" x14ac:dyDescent="0.25">
      <c r="B161" s="498"/>
      <c r="C161" s="444" t="s">
        <v>724</v>
      </c>
      <c r="D161" s="444"/>
      <c r="E161" s="444"/>
      <c r="F161" s="448"/>
      <c r="G161" s="242"/>
      <c r="M161" s="501"/>
    </row>
    <row r="162" spans="2:13" ht="12.75" customHeight="1" x14ac:dyDescent="0.25">
      <c r="B162" s="498"/>
      <c r="C162" s="839" t="s">
        <v>788</v>
      </c>
      <c r="D162" s="840"/>
      <c r="E162" s="840"/>
      <c r="F162" s="840"/>
      <c r="G162" s="840"/>
      <c r="H162" s="840"/>
      <c r="I162" s="841"/>
      <c r="J162" s="838"/>
      <c r="K162" s="838"/>
      <c r="L162" s="838"/>
      <c r="M162" s="501"/>
    </row>
    <row r="163" spans="2:13" ht="12.75" customHeight="1" x14ac:dyDescent="0.25">
      <c r="B163" s="498"/>
      <c r="C163" s="842"/>
      <c r="D163" s="843"/>
      <c r="E163" s="843"/>
      <c r="F163" s="843"/>
      <c r="G163" s="843"/>
      <c r="H163" s="843"/>
      <c r="I163" s="844"/>
      <c r="J163" s="838"/>
      <c r="K163" s="838"/>
      <c r="L163" s="838"/>
      <c r="M163" s="501"/>
    </row>
    <row r="164" spans="2:13" ht="12.75" customHeight="1" x14ac:dyDescent="0.25">
      <c r="B164" s="498"/>
      <c r="C164" s="842"/>
      <c r="D164" s="843"/>
      <c r="E164" s="843"/>
      <c r="F164" s="843"/>
      <c r="G164" s="843"/>
      <c r="H164" s="843"/>
      <c r="I164" s="844"/>
      <c r="J164" s="838"/>
      <c r="K164" s="838"/>
      <c r="L164" s="838"/>
      <c r="M164" s="501"/>
    </row>
    <row r="165" spans="2:13" ht="12.75" customHeight="1" x14ac:dyDescent="0.25">
      <c r="B165" s="498"/>
      <c r="C165" s="842"/>
      <c r="D165" s="843"/>
      <c r="E165" s="843"/>
      <c r="F165" s="843"/>
      <c r="G165" s="843"/>
      <c r="H165" s="843"/>
      <c r="I165" s="844"/>
      <c r="J165" s="838"/>
      <c r="K165" s="838"/>
      <c r="L165" s="838"/>
      <c r="M165" s="501"/>
    </row>
    <row r="166" spans="2:13" ht="12.75" customHeight="1" x14ac:dyDescent="0.25">
      <c r="B166" s="498"/>
      <c r="C166" s="845"/>
      <c r="D166" s="846"/>
      <c r="E166" s="846"/>
      <c r="F166" s="846"/>
      <c r="G166" s="846"/>
      <c r="H166" s="846"/>
      <c r="I166" s="847"/>
      <c r="J166" s="838"/>
      <c r="K166" s="838"/>
      <c r="L166" s="838"/>
      <c r="M166" s="501"/>
    </row>
    <row r="167" spans="2:13" ht="12.75" customHeight="1" x14ac:dyDescent="0.25">
      <c r="B167" s="498"/>
      <c r="C167" s="838"/>
      <c r="D167" s="838"/>
      <c r="E167" s="838"/>
      <c r="F167" s="838"/>
      <c r="G167" s="838"/>
      <c r="H167" s="838"/>
      <c r="I167" s="838"/>
      <c r="J167" s="838"/>
      <c r="K167" s="838"/>
      <c r="L167" s="838"/>
      <c r="M167" s="501"/>
    </row>
    <row r="168" spans="2:13" ht="9" customHeight="1" x14ac:dyDescent="0.25">
      <c r="B168" s="502"/>
      <c r="M168" s="501"/>
    </row>
    <row r="169" spans="2:13" x14ac:dyDescent="0.25">
      <c r="B169" s="502"/>
      <c r="C169" s="4" t="s">
        <v>725</v>
      </c>
      <c r="G169" s="471" t="s">
        <v>788</v>
      </c>
      <c r="M169" s="501"/>
    </row>
    <row r="170" spans="2:13" x14ac:dyDescent="0.25">
      <c r="B170" s="502"/>
      <c r="G170" s="529"/>
      <c r="M170" s="501"/>
    </row>
    <row r="171" spans="2:13" x14ac:dyDescent="0.25">
      <c r="B171" s="502"/>
      <c r="C171" s="4" t="s">
        <v>726</v>
      </c>
      <c r="G171" s="471" t="s">
        <v>788</v>
      </c>
      <c r="M171" s="501"/>
    </row>
    <row r="172" spans="2:13" x14ac:dyDescent="0.25">
      <c r="B172" s="502"/>
      <c r="G172" s="529"/>
      <c r="M172" s="501"/>
    </row>
    <row r="173" spans="2:13" x14ac:dyDescent="0.25">
      <c r="B173" s="502"/>
      <c r="C173" s="4" t="s">
        <v>727</v>
      </c>
      <c r="G173" s="471" t="s">
        <v>788</v>
      </c>
      <c r="M173" s="501"/>
    </row>
    <row r="174" spans="2:13" x14ac:dyDescent="0.25">
      <c r="B174" s="502"/>
      <c r="G174" s="529"/>
      <c r="M174" s="501"/>
    </row>
    <row r="175" spans="2:13" x14ac:dyDescent="0.25">
      <c r="B175" s="502"/>
      <c r="C175" s="4" t="s">
        <v>728</v>
      </c>
      <c r="G175" s="471" t="s">
        <v>788</v>
      </c>
      <c r="M175" s="501"/>
    </row>
    <row r="176" spans="2:13" x14ac:dyDescent="0.25">
      <c r="B176" s="502"/>
      <c r="M176" s="501"/>
    </row>
    <row r="177" spans="2:13" x14ac:dyDescent="0.25">
      <c r="B177" s="502"/>
      <c r="M177" s="501"/>
    </row>
    <row r="178" spans="2:13" x14ac:dyDescent="0.25">
      <c r="B178" s="502"/>
      <c r="M178" s="501"/>
    </row>
    <row r="179" spans="2:13" x14ac:dyDescent="0.25">
      <c r="B179" s="502"/>
      <c r="C179" s="444" t="s">
        <v>729</v>
      </c>
      <c r="M179" s="501"/>
    </row>
    <row r="180" spans="2:13" x14ac:dyDescent="0.25">
      <c r="B180" s="502"/>
      <c r="M180" s="501"/>
    </row>
    <row r="181" spans="2:13" x14ac:dyDescent="0.25">
      <c r="B181" s="502"/>
      <c r="C181" s="31"/>
      <c r="M181" s="501"/>
    </row>
    <row r="182" spans="2:13" s="297" customFormat="1" x14ac:dyDescent="0.25">
      <c r="B182" s="530"/>
      <c r="C182" s="531" t="s">
        <v>730</v>
      </c>
      <c r="D182" s="297" t="s">
        <v>731</v>
      </c>
      <c r="M182" s="532"/>
    </row>
    <row r="183" spans="2:13" ht="15.75" customHeight="1" x14ac:dyDescent="0.25">
      <c r="B183" s="502"/>
      <c r="C183" s="31"/>
      <c r="D183" s="839" t="s">
        <v>788</v>
      </c>
      <c r="E183" s="840"/>
      <c r="F183" s="840"/>
      <c r="G183" s="840"/>
      <c r="H183" s="840"/>
      <c r="I183" s="841"/>
      <c r="M183" s="501"/>
    </row>
    <row r="184" spans="2:13" ht="15.75" customHeight="1" x14ac:dyDescent="0.25">
      <c r="B184" s="502"/>
      <c r="C184" s="31"/>
      <c r="D184" s="842"/>
      <c r="E184" s="843"/>
      <c r="F184" s="843"/>
      <c r="G184" s="843"/>
      <c r="H184" s="843"/>
      <c r="I184" s="844"/>
      <c r="M184" s="501"/>
    </row>
    <row r="185" spans="2:13" ht="15" customHeight="1" x14ac:dyDescent="0.25">
      <c r="B185" s="502"/>
      <c r="C185" s="31"/>
      <c r="D185" s="842"/>
      <c r="E185" s="843"/>
      <c r="F185" s="843"/>
      <c r="G185" s="843"/>
      <c r="H185" s="843"/>
      <c r="I185" s="844"/>
      <c r="M185" s="501"/>
    </row>
    <row r="186" spans="2:13" ht="15.75" customHeight="1" x14ac:dyDescent="0.25">
      <c r="B186" s="502"/>
      <c r="C186" s="31"/>
      <c r="D186" s="842"/>
      <c r="E186" s="843"/>
      <c r="F186" s="843"/>
      <c r="G186" s="843"/>
      <c r="H186" s="843"/>
      <c r="I186" s="844"/>
      <c r="M186" s="501"/>
    </row>
    <row r="187" spans="2:13" ht="15.75" customHeight="1" x14ac:dyDescent="0.25">
      <c r="B187" s="502"/>
      <c r="C187" s="31"/>
      <c r="D187" s="842"/>
      <c r="E187" s="843"/>
      <c r="F187" s="843"/>
      <c r="G187" s="843"/>
      <c r="H187" s="843"/>
      <c r="I187" s="844"/>
      <c r="M187" s="501"/>
    </row>
    <row r="188" spans="2:13" ht="15.75" customHeight="1" x14ac:dyDescent="0.25">
      <c r="B188" s="502"/>
      <c r="C188" s="31"/>
      <c r="D188" s="842"/>
      <c r="E188" s="843"/>
      <c r="F188" s="843"/>
      <c r="G188" s="843"/>
      <c r="H188" s="843"/>
      <c r="I188" s="844"/>
      <c r="M188" s="501"/>
    </row>
    <row r="189" spans="2:13" ht="15.75" customHeight="1" x14ac:dyDescent="0.25">
      <c r="B189" s="502"/>
      <c r="C189" s="31"/>
      <c r="D189" s="842"/>
      <c r="E189" s="843"/>
      <c r="F189" s="843"/>
      <c r="G189" s="843"/>
      <c r="H189" s="843"/>
      <c r="I189" s="844"/>
      <c r="M189" s="501"/>
    </row>
    <row r="190" spans="2:13" ht="15.75" customHeight="1" x14ac:dyDescent="0.25">
      <c r="B190" s="502"/>
      <c r="C190" s="31"/>
      <c r="D190" s="842"/>
      <c r="E190" s="843"/>
      <c r="F190" s="843"/>
      <c r="G190" s="843"/>
      <c r="H190" s="843"/>
      <c r="I190" s="844"/>
      <c r="M190" s="501"/>
    </row>
    <row r="191" spans="2:13" ht="15.75" customHeight="1" x14ac:dyDescent="0.25">
      <c r="B191" s="502"/>
      <c r="C191" s="31"/>
      <c r="D191" s="845"/>
      <c r="E191" s="846"/>
      <c r="F191" s="846"/>
      <c r="G191" s="846"/>
      <c r="H191" s="846"/>
      <c r="I191" s="847"/>
      <c r="M191" s="501"/>
    </row>
    <row r="192" spans="2:13" x14ac:dyDescent="0.25">
      <c r="B192" s="502"/>
      <c r="C192" s="31"/>
      <c r="M192" s="501"/>
    </row>
    <row r="193" spans="2:13" x14ac:dyDescent="0.25">
      <c r="B193" s="502"/>
      <c r="C193" s="31"/>
      <c r="M193" s="501"/>
    </row>
    <row r="194" spans="2:13" s="297" customFormat="1" x14ac:dyDescent="0.25">
      <c r="B194" s="530"/>
      <c r="C194" s="531" t="s">
        <v>732</v>
      </c>
      <c r="D194" s="297" t="s">
        <v>733</v>
      </c>
      <c r="M194" s="532"/>
    </row>
    <row r="195" spans="2:13" ht="15.75" customHeight="1" x14ac:dyDescent="0.25">
      <c r="B195" s="502"/>
      <c r="C195" s="55"/>
      <c r="D195" s="839" t="s">
        <v>788</v>
      </c>
      <c r="E195" s="840"/>
      <c r="F195" s="840"/>
      <c r="G195" s="840"/>
      <c r="H195" s="840"/>
      <c r="I195" s="841"/>
      <c r="M195" s="501"/>
    </row>
    <row r="196" spans="2:13" ht="15.75" customHeight="1" x14ac:dyDescent="0.25">
      <c r="B196" s="502"/>
      <c r="C196" s="55"/>
      <c r="D196" s="842"/>
      <c r="E196" s="843"/>
      <c r="F196" s="843"/>
      <c r="G196" s="843"/>
      <c r="H196" s="843"/>
      <c r="I196" s="844"/>
      <c r="M196" s="501"/>
    </row>
    <row r="197" spans="2:13" ht="15.75" customHeight="1" x14ac:dyDescent="0.25">
      <c r="B197" s="502"/>
      <c r="C197" s="344"/>
      <c r="D197" s="842"/>
      <c r="E197" s="843"/>
      <c r="F197" s="843"/>
      <c r="G197" s="843"/>
      <c r="H197" s="843"/>
      <c r="I197" s="844"/>
      <c r="M197" s="501"/>
    </row>
    <row r="198" spans="2:13" ht="15.75" customHeight="1" x14ac:dyDescent="0.25">
      <c r="B198" s="502"/>
      <c r="D198" s="842"/>
      <c r="E198" s="843"/>
      <c r="F198" s="843"/>
      <c r="G198" s="843"/>
      <c r="H198" s="843"/>
      <c r="I198" s="844"/>
      <c r="M198" s="501"/>
    </row>
    <row r="199" spans="2:13" ht="15.75" customHeight="1" x14ac:dyDescent="0.25">
      <c r="B199" s="502"/>
      <c r="D199" s="842"/>
      <c r="E199" s="843"/>
      <c r="F199" s="843"/>
      <c r="G199" s="843"/>
      <c r="H199" s="843"/>
      <c r="I199" s="844"/>
      <c r="M199" s="501"/>
    </row>
    <row r="200" spans="2:13" ht="15.75" customHeight="1" x14ac:dyDescent="0.25">
      <c r="B200" s="502"/>
      <c r="D200" s="842"/>
      <c r="E200" s="843"/>
      <c r="F200" s="843"/>
      <c r="G200" s="843"/>
      <c r="H200" s="843"/>
      <c r="I200" s="844"/>
      <c r="M200" s="501"/>
    </row>
    <row r="201" spans="2:13" ht="15.75" customHeight="1" x14ac:dyDescent="0.25">
      <c r="B201" s="502"/>
      <c r="D201" s="842"/>
      <c r="E201" s="843"/>
      <c r="F201" s="843"/>
      <c r="G201" s="843"/>
      <c r="H201" s="843"/>
      <c r="I201" s="844"/>
      <c r="M201" s="501"/>
    </row>
    <row r="202" spans="2:13" ht="15.75" customHeight="1" x14ac:dyDescent="0.25">
      <c r="B202" s="502"/>
      <c r="D202" s="842"/>
      <c r="E202" s="843"/>
      <c r="F202" s="843"/>
      <c r="G202" s="843"/>
      <c r="H202" s="843"/>
      <c r="I202" s="844"/>
      <c r="M202" s="501"/>
    </row>
    <row r="203" spans="2:13" ht="15.75" customHeight="1" x14ac:dyDescent="0.25">
      <c r="B203" s="502"/>
      <c r="D203" s="845"/>
      <c r="E203" s="846"/>
      <c r="F203" s="846"/>
      <c r="G203" s="846"/>
      <c r="H203" s="846"/>
      <c r="I203" s="847"/>
      <c r="M203" s="501"/>
    </row>
    <row r="204" spans="2:13" ht="12.75" customHeight="1" x14ac:dyDescent="0.25">
      <c r="B204" s="502"/>
      <c r="M204" s="501"/>
    </row>
    <row r="205" spans="2:13" ht="12.75" customHeight="1" thickBot="1" x14ac:dyDescent="0.3">
      <c r="B205" s="533"/>
      <c r="C205" s="534"/>
      <c r="D205" s="534"/>
      <c r="E205" s="534"/>
      <c r="F205" s="534"/>
      <c r="G205" s="534"/>
      <c r="H205" s="534"/>
      <c r="I205" s="534"/>
      <c r="J205" s="534"/>
      <c r="K205" s="534"/>
      <c r="L205" s="534"/>
      <c r="M205" s="535"/>
    </row>
    <row r="206" spans="2:13" ht="12.75" customHeight="1" x14ac:dyDescent="0.25"/>
    <row r="207" spans="2:13" ht="12.75" customHeight="1" x14ac:dyDescent="0.25"/>
  </sheetData>
  <sheetProtection algorithmName="SHA-512" hashValue="bOfNfvP6E0f2UnpKtWB8oEEWA6ElDjd/UXkWuH27cPdT5bhLdnD8d/wAbXZBhyBgr5FEcw+W7/npVCCbVBJdLg==" saltValue="z0Fwg2zMOjag3/28423e3w==" spinCount="100000" sheet="1" objects="1" scenarios="1"/>
  <mergeCells count="17">
    <mergeCell ref="E70:F70"/>
    <mergeCell ref="E10:F10"/>
    <mergeCell ref="E15:F15"/>
    <mergeCell ref="E39:H54"/>
    <mergeCell ref="B64:E64"/>
    <mergeCell ref="E65:F65"/>
    <mergeCell ref="D39:D41"/>
    <mergeCell ref="C167:I167"/>
    <mergeCell ref="J167:L167"/>
    <mergeCell ref="D183:I191"/>
    <mergeCell ref="D195:I203"/>
    <mergeCell ref="B117:B119"/>
    <mergeCell ref="B126:D126"/>
    <mergeCell ref="J153:L153"/>
    <mergeCell ref="C147:I151"/>
    <mergeCell ref="C162:I166"/>
    <mergeCell ref="J162:L166"/>
  </mergeCells>
  <dataValidations disablePrompts="1" count="2">
    <dataValidation type="list" allowBlank="1" showInputMessage="1" showErrorMessage="1" sqref="I178:I182 G176:G177 I192:I194 I204:I205" xr:uid="{00000000-0002-0000-1000-000000000000}">
      <formula1>$O$34:$O$35</formula1>
    </dataValidation>
    <dataValidation type="decimal" operator="greaterThan" allowBlank="1" showInputMessage="1" showErrorMessage="1" error="יש להזין מספרים בלבד" sqref="G173 G153:G155 G169 G171 G175" xr:uid="{00000000-0002-0000-1000-000001000000}">
      <formula1>0</formula1>
    </dataValidation>
  </dataValidations>
  <hyperlinks>
    <hyperlink ref="A6" location="'תוכן עניינים'!A1" display="תוכן עניינים" xr:uid="{00000000-0004-0000-1000-000000000000}"/>
  </hyperlinks>
  <pageMargins left="0.70866141732283472" right="0.70866141732283472" top="0.74803149606299213" bottom="0.74803149606299213" header="0.31496062992125984" footer="0.31496062992125984"/>
  <pageSetup paperSize="9" scale="14"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19"/>
  <dimension ref="A1:S47"/>
  <sheetViews>
    <sheetView showGridLines="0" rightToLeft="1" topLeftCell="B1" zoomScale="85" zoomScaleNormal="85" workbookViewId="0">
      <selection activeCell="P41" sqref="P41"/>
    </sheetView>
  </sheetViews>
  <sheetFormatPr defaultColWidth="8" defaultRowHeight="15" x14ac:dyDescent="0.25"/>
  <cols>
    <col min="1" max="1" width="14.75" style="218" bestFit="1" customWidth="1"/>
    <col min="2" max="3" width="8.75" style="218" customWidth="1"/>
    <col min="4" max="4" width="13.25" style="218" customWidth="1"/>
    <col min="5" max="5" width="33.625" style="218" bestFit="1" customWidth="1"/>
    <col min="6" max="6" width="10.75" style="609" bestFit="1" customWidth="1"/>
    <col min="7" max="7" width="13.75" style="609" customWidth="1"/>
    <col min="8" max="8" width="12.25" style="218" bestFit="1" customWidth="1"/>
    <col min="9" max="9" width="33.625" style="218" bestFit="1" customWidth="1"/>
    <col min="10" max="10" width="10.75" style="610" bestFit="1" customWidth="1"/>
    <col min="11" max="11" width="14.75" style="610" customWidth="1"/>
    <col min="12" max="12" width="1.5" style="610" customWidth="1"/>
    <col min="13" max="13" width="17.75" style="691" customWidth="1"/>
    <col min="14" max="14" width="21.25" style="691" customWidth="1"/>
    <col min="15" max="15" width="25.125" style="691" customWidth="1"/>
    <col min="16" max="16" width="14.625" style="692" customWidth="1"/>
    <col min="17" max="16384" width="8" style="218"/>
  </cols>
  <sheetData>
    <row r="1" spans="1:19" ht="31.5" x14ac:dyDescent="0.5">
      <c r="A1" s="11" t="s">
        <v>776</v>
      </c>
      <c r="B1" s="5"/>
      <c r="C1" s="12">
        <f>הנחיות!C1</f>
        <v>2024</v>
      </c>
      <c r="D1" s="5"/>
      <c r="E1" s="5"/>
      <c r="F1" s="601"/>
      <c r="G1" s="601"/>
      <c r="H1" s="298"/>
      <c r="I1" s="73"/>
      <c r="J1" s="369"/>
      <c r="K1" s="602"/>
      <c r="L1" s="602"/>
      <c r="M1" s="683"/>
      <c r="N1" s="684"/>
      <c r="O1" s="684"/>
      <c r="P1" s="685"/>
      <c r="Q1" s="603"/>
    </row>
    <row r="2" spans="1:19" ht="31.5" x14ac:dyDescent="0.5">
      <c r="A2" s="13" t="s">
        <v>772</v>
      </c>
      <c r="B2" s="6"/>
      <c r="C2" s="15" t="s">
        <v>72</v>
      </c>
      <c r="D2" s="6"/>
      <c r="E2" s="6"/>
      <c r="F2" s="604"/>
      <c r="G2" s="604"/>
      <c r="H2" s="299"/>
      <c r="I2" s="73"/>
      <c r="J2" s="369"/>
      <c r="K2" s="602"/>
      <c r="L2" s="602"/>
      <c r="M2" s="683"/>
      <c r="N2" s="686"/>
      <c r="O2" s="686"/>
      <c r="P2" s="687"/>
      <c r="Q2" s="605"/>
    </row>
    <row r="3" spans="1:19" ht="31.5" x14ac:dyDescent="0.5">
      <c r="A3" s="7"/>
      <c r="B3" s="6"/>
      <c r="C3" s="6"/>
      <c r="D3" s="6"/>
      <c r="E3" s="6"/>
      <c r="F3" s="604"/>
      <c r="G3" s="604"/>
      <c r="H3" s="299"/>
      <c r="I3" s="73"/>
      <c r="J3" s="369"/>
      <c r="K3" s="602"/>
      <c r="L3" s="602"/>
      <c r="M3" s="683"/>
      <c r="N3" s="686"/>
      <c r="O3" s="686"/>
      <c r="P3" s="687"/>
      <c r="Q3" s="605"/>
    </row>
    <row r="4" spans="1:19" ht="31.5" x14ac:dyDescent="0.5">
      <c r="A4" s="169" t="s">
        <v>773</v>
      </c>
      <c r="B4" s="170"/>
      <c r="C4" s="171" t="str">
        <f>IF('פרטי התאגיד'!$G$9=0, "", 'פרטי התאגיד'!$G$9)</f>
        <v>פלגי מוצקין בע"מ</v>
      </c>
      <c r="D4" s="172"/>
      <c r="E4" s="172"/>
      <c r="F4" s="606"/>
      <c r="G4" s="606"/>
      <c r="H4" s="300"/>
      <c r="I4" s="174"/>
      <c r="J4" s="347"/>
      <c r="K4" s="607"/>
      <c r="L4" s="607"/>
      <c r="M4" s="688"/>
      <c r="N4" s="689"/>
      <c r="O4" s="689"/>
      <c r="P4" s="690"/>
      <c r="Q4" s="608"/>
    </row>
    <row r="6" spans="1:19" ht="18.75" x14ac:dyDescent="0.3">
      <c r="A6" s="30" t="s">
        <v>1</v>
      </c>
      <c r="B6" s="77"/>
    </row>
    <row r="7" spans="1:19" ht="15.75" thickBot="1" x14ac:dyDescent="0.3">
      <c r="A7" s="77"/>
      <c r="B7" s="77"/>
    </row>
    <row r="8" spans="1:19" x14ac:dyDescent="0.25">
      <c r="A8" s="77"/>
      <c r="B8" s="342"/>
      <c r="C8" s="611"/>
      <c r="D8" s="611"/>
      <c r="E8" s="611"/>
      <c r="F8" s="612"/>
      <c r="G8" s="612"/>
      <c r="H8" s="611"/>
      <c r="I8" s="611"/>
      <c r="J8" s="613"/>
      <c r="K8" s="613"/>
      <c r="L8" s="613"/>
      <c r="M8" s="693"/>
      <c r="N8" s="693"/>
      <c r="O8" s="693"/>
      <c r="P8" s="694"/>
      <c r="Q8" s="614"/>
    </row>
    <row r="9" spans="1:19" x14ac:dyDescent="0.25">
      <c r="B9" s="615"/>
      <c r="Q9" s="616"/>
    </row>
    <row r="10" spans="1:19" ht="18.75" x14ac:dyDescent="0.3">
      <c r="B10" s="615"/>
      <c r="C10" s="617" t="s">
        <v>72</v>
      </c>
      <c r="D10" s="618"/>
      <c r="E10" s="618"/>
      <c r="F10" s="552"/>
      <c r="G10" s="296"/>
      <c r="H10" s="103"/>
      <c r="I10" s="103"/>
      <c r="J10" s="348"/>
      <c r="K10" s="348"/>
      <c r="L10" s="348"/>
      <c r="M10" s="695"/>
      <c r="N10" s="695"/>
      <c r="O10" s="695"/>
      <c r="P10" s="696"/>
      <c r="Q10" s="616"/>
    </row>
    <row r="11" spans="1:19" s="165" customFormat="1" ht="26.25" x14ac:dyDescent="0.2">
      <c r="B11" s="619"/>
      <c r="C11" s="353"/>
      <c r="F11" s="117"/>
      <c r="G11" s="117"/>
      <c r="J11" s="117"/>
      <c r="K11" s="117"/>
      <c r="L11" s="117"/>
      <c r="M11" s="697"/>
      <c r="N11" s="697"/>
      <c r="O11" s="697"/>
      <c r="P11" s="217"/>
      <c r="Q11" s="620"/>
      <c r="S11" s="624"/>
    </row>
    <row r="12" spans="1:19" s="281" customFormat="1" ht="15.75" x14ac:dyDescent="0.2">
      <c r="B12" s="621"/>
      <c r="C12" s="876" t="s">
        <v>734</v>
      </c>
      <c r="D12" s="876"/>
      <c r="E12" s="876"/>
      <c r="F12" s="876"/>
      <c r="G12" s="876"/>
      <c r="H12" s="876"/>
      <c r="I12" s="876"/>
      <c r="J12" s="876"/>
      <c r="K12" s="876"/>
      <c r="L12" s="117"/>
      <c r="M12" s="877" t="s">
        <v>735</v>
      </c>
      <c r="N12" s="877"/>
      <c r="O12" s="877"/>
      <c r="P12" s="877"/>
      <c r="Q12" s="622"/>
    </row>
    <row r="13" spans="1:19" s="281" customFormat="1" ht="15.75" x14ac:dyDescent="0.2">
      <c r="B13" s="621"/>
      <c r="D13" s="804" t="s">
        <v>736</v>
      </c>
      <c r="E13" s="804"/>
      <c r="F13" s="804"/>
      <c r="G13" s="804"/>
      <c r="H13" s="804" t="s">
        <v>737</v>
      </c>
      <c r="I13" s="804"/>
      <c r="J13" s="804"/>
      <c r="K13" s="804"/>
      <c r="L13" s="117"/>
      <c r="M13" s="878" t="s">
        <v>738</v>
      </c>
      <c r="N13" s="878" t="s">
        <v>739</v>
      </c>
      <c r="O13" s="878" t="s">
        <v>3</v>
      </c>
      <c r="P13" s="878" t="s">
        <v>740</v>
      </c>
      <c r="Q13" s="622"/>
    </row>
    <row r="14" spans="1:19" s="165" customFormat="1" ht="15.75" x14ac:dyDescent="0.2">
      <c r="B14" s="619"/>
      <c r="C14" s="349" t="s">
        <v>815</v>
      </c>
      <c r="D14" s="281" t="s">
        <v>741</v>
      </c>
      <c r="E14" s="281" t="s">
        <v>742</v>
      </c>
      <c r="F14" s="349" t="s">
        <v>693</v>
      </c>
      <c r="G14" s="349" t="s">
        <v>743</v>
      </c>
      <c r="H14" s="281" t="s">
        <v>741</v>
      </c>
      <c r="I14" s="281" t="s">
        <v>742</v>
      </c>
      <c r="J14" s="349" t="s">
        <v>693</v>
      </c>
      <c r="K14" s="349" t="s">
        <v>743</v>
      </c>
      <c r="L14" s="117"/>
      <c r="M14" s="878"/>
      <c r="N14" s="878"/>
      <c r="O14" s="878"/>
      <c r="P14" s="878"/>
      <c r="Q14" s="620"/>
    </row>
    <row r="15" spans="1:19" s="165" customFormat="1" ht="15.75" x14ac:dyDescent="0.2">
      <c r="B15" s="619"/>
      <c r="C15" s="632">
        <v>1</v>
      </c>
      <c r="D15" s="633" t="s">
        <v>744</v>
      </c>
      <c r="E15" s="633" t="s">
        <v>94</v>
      </c>
      <c r="F15" s="634" t="str">
        <f>מאזן!$F$8</f>
        <v>31/12/2024</v>
      </c>
      <c r="G15" s="635">
        <f>מאזן!F34</f>
        <v>354320</v>
      </c>
      <c r="H15" s="633" t="s">
        <v>744</v>
      </c>
      <c r="I15" s="633" t="s">
        <v>116</v>
      </c>
      <c r="J15" s="634" t="str">
        <f>מאזן!F8</f>
        <v>31/12/2024</v>
      </c>
      <c r="K15" s="635">
        <f>מאזן!F66</f>
        <v>354320</v>
      </c>
      <c r="L15" s="635"/>
      <c r="M15" s="640" t="str">
        <f>IF(OR(G15=0,K15=0),"",IF((ROUND(G15,0))=(ROUND(K15,0)),"תקין","לא תקין"))</f>
        <v>תקין</v>
      </c>
      <c r="N15" s="698" t="str">
        <f>IF(G15&lt;&gt;K15,G15-K15,"")</f>
        <v/>
      </c>
      <c r="O15" s="698" t="str">
        <f>IF(K15&lt;&gt;G15,"מאזן לא מאוזן","")</f>
        <v/>
      </c>
      <c r="P15" s="699"/>
      <c r="Q15" s="620"/>
    </row>
    <row r="16" spans="1:19" s="165" customFormat="1" ht="15.75" x14ac:dyDescent="0.2">
      <c r="B16" s="619"/>
      <c r="C16" s="637">
        <v>2</v>
      </c>
      <c r="D16" s="638" t="s">
        <v>744</v>
      </c>
      <c r="E16" s="638" t="s">
        <v>94</v>
      </c>
      <c r="F16" s="639" t="str">
        <f>מאזן!$H$8</f>
        <v>31/12/2023</v>
      </c>
      <c r="G16" s="640">
        <f>מאזן!H34</f>
        <v>350645</v>
      </c>
      <c r="H16" s="638" t="s">
        <v>744</v>
      </c>
      <c r="I16" s="638" t="s">
        <v>116</v>
      </c>
      <c r="J16" s="639" t="str">
        <f>מאזן!H8</f>
        <v>31/12/2023</v>
      </c>
      <c r="K16" s="640">
        <f>מאזן!H66</f>
        <v>350645</v>
      </c>
      <c r="L16" s="640"/>
      <c r="M16" s="700" t="str">
        <f>IF(OR(G16=0,K16=0),"",IF((ROUND(G16,0))=(ROUND(K16,0)),"תקין","לא תקין"))</f>
        <v>תקין</v>
      </c>
      <c r="N16" s="700" t="str">
        <f>IF(G16&lt;&gt;K16,G16-K16,"")</f>
        <v/>
      </c>
      <c r="O16" s="700" t="str">
        <f>IF(K16&lt;&gt;G16,"מאזן לא מאוזן","")</f>
        <v/>
      </c>
      <c r="P16" s="701"/>
      <c r="Q16" s="620"/>
    </row>
    <row r="17" spans="2:17" s="165" customFormat="1" ht="15.75" x14ac:dyDescent="0.2">
      <c r="B17" s="619"/>
      <c r="C17" s="413">
        <v>3</v>
      </c>
      <c r="D17" s="630" t="s">
        <v>744</v>
      </c>
      <c r="E17" s="630" t="s">
        <v>745</v>
      </c>
      <c r="F17" s="636" t="str">
        <f>מאזן!F8</f>
        <v>31/12/2024</v>
      </c>
      <c r="G17" s="414">
        <f>מאזן!F11</f>
        <v>6928</v>
      </c>
      <c r="H17" s="630" t="s">
        <v>746</v>
      </c>
      <c r="I17" s="630" t="s">
        <v>747</v>
      </c>
      <c r="J17" s="636" t="str">
        <f>מאזן!F8</f>
        <v>31/12/2024</v>
      </c>
      <c r="K17" s="414">
        <f>תזרים!G65</f>
        <v>6928</v>
      </c>
      <c r="L17" s="414"/>
      <c r="M17" s="702" t="str">
        <f>IF(OR(G17=0,K17=0),"",IF((ROUND(G17,0))=(ROUND(K17,0)),"תקין","לא תקין"))</f>
        <v>תקין</v>
      </c>
      <c r="N17" s="702" t="str">
        <f>IF(G17&lt;&gt;K17,G17-K17,"")</f>
        <v/>
      </c>
      <c r="O17" s="702" t="str">
        <f>IF(K17&lt;&gt;G17," סך מזומן בתזרים לא תואם את הסעיף מזומן במאזן לשנה הנוכחית","")</f>
        <v/>
      </c>
      <c r="P17" s="703"/>
      <c r="Q17" s="620"/>
    </row>
    <row r="18" spans="2:17" s="165" customFormat="1" ht="15.75" x14ac:dyDescent="0.2">
      <c r="B18" s="619"/>
      <c r="C18" s="413">
        <v>4</v>
      </c>
      <c r="D18" s="630" t="s">
        <v>744</v>
      </c>
      <c r="E18" s="630" t="s">
        <v>745</v>
      </c>
      <c r="F18" s="636" t="str">
        <f>מאזן!H8</f>
        <v>31/12/2023</v>
      </c>
      <c r="G18" s="414">
        <f>מאזן!H11</f>
        <v>11982</v>
      </c>
      <c r="H18" s="630" t="s">
        <v>746</v>
      </c>
      <c r="I18" s="630" t="s">
        <v>747</v>
      </c>
      <c r="J18" s="636" t="str">
        <f>מאזן!H8</f>
        <v>31/12/2023</v>
      </c>
      <c r="K18" s="414">
        <f>תזרים!I65</f>
        <v>11982</v>
      </c>
      <c r="L18" s="414"/>
      <c r="M18" s="702" t="str">
        <f>IF(OR(G18=0,K18=0),"",IF((ROUND(G18,0))=(ROUND(K18,0)),"תקין","לא תקין"))</f>
        <v>תקין</v>
      </c>
      <c r="N18" s="702" t="str">
        <f>IF(G18&lt;&gt;K18,G18-K18,"")</f>
        <v/>
      </c>
      <c r="O18" s="702" t="str">
        <f>IF(K18&lt;&gt;G18," (מס' השוואה)סך מזומן בתזרים לא תואם את הסעיף מזומנים במאזן","")</f>
        <v/>
      </c>
      <c r="P18" s="703"/>
      <c r="Q18" s="620"/>
    </row>
    <row r="19" spans="2:17" s="165" customFormat="1" ht="31.5" x14ac:dyDescent="0.2">
      <c r="B19" s="619"/>
      <c r="C19" s="413">
        <v>5</v>
      </c>
      <c r="D19" s="630" t="s">
        <v>115</v>
      </c>
      <c r="E19" s="630" t="s">
        <v>748</v>
      </c>
      <c r="F19" s="636" t="str">
        <f>מאזן!$H$8</f>
        <v>31/12/2023</v>
      </c>
      <c r="G19" s="414">
        <f>+'הון עצמי'!F24</f>
        <v>360</v>
      </c>
      <c r="H19" s="630" t="s">
        <v>457</v>
      </c>
      <c r="I19" s="630" t="s">
        <v>749</v>
      </c>
      <c r="J19" s="636" t="str">
        <f>מאזן!$H$8</f>
        <v>31/12/2023</v>
      </c>
      <c r="K19" s="414">
        <f>'ביאורים 12-29'!J330</f>
        <v>360</v>
      </c>
      <c r="L19" s="414"/>
      <c r="M19" s="702" t="str">
        <f>IF(OR(G19=0,K19=0),"",IF(G19=K19,"תקין","לא תקין"))</f>
        <v>תקין</v>
      </c>
      <c r="N19" s="702" t="str">
        <f>IF(G19&lt;&gt;K19,G19*1000-K19,"")</f>
        <v/>
      </c>
      <c r="O19" s="702" t="str">
        <f>IF(K19*1000&lt;&gt;G19,"סך ההון בדוח על השינויים לא תואם את הביאור להשנה ","")</f>
        <v xml:space="preserve">סך ההון בדוח על השינויים לא תואם את הביאור להשנה </v>
      </c>
      <c r="P19" s="703"/>
      <c r="Q19" s="620"/>
    </row>
    <row r="20" spans="2:17" s="165" customFormat="1" ht="47.25" x14ac:dyDescent="0.2">
      <c r="B20" s="619"/>
      <c r="C20" s="637">
        <v>6</v>
      </c>
      <c r="D20" s="638" t="s">
        <v>115</v>
      </c>
      <c r="E20" s="638" t="s">
        <v>748</v>
      </c>
      <c r="F20" s="639" t="str">
        <f>מאזן!$F$8</f>
        <v>31/12/2024</v>
      </c>
      <c r="G20" s="640">
        <f>+'הון עצמי'!F33</f>
        <v>360</v>
      </c>
      <c r="H20" s="638" t="s">
        <v>750</v>
      </c>
      <c r="I20" s="638" t="s">
        <v>749</v>
      </c>
      <c r="J20" s="639" t="str">
        <f>מאזן!$F$8</f>
        <v>31/12/2024</v>
      </c>
      <c r="K20" s="640">
        <f>'ביאורים 12-29'!H330</f>
        <v>360</v>
      </c>
      <c r="L20" s="640"/>
      <c r="M20" s="700" t="str">
        <f>IF(OR(G20=0,K20=0),"",IF(G20=K20,"תקין","לא תקין"))</f>
        <v>תקין</v>
      </c>
      <c r="N20" s="700" t="str">
        <f>IF(G20&lt;&gt;K20,G20*1000-K20,"")</f>
        <v/>
      </c>
      <c r="O20" s="700" t="str">
        <f>IF(K20&lt;&gt;G20*1000,"סך ההון בדוח תזרים לא תואם את הביאור ביחס למספרי השוואה ","")</f>
        <v xml:space="preserve">סך ההון בדוח תזרים לא תואם את הביאור ביחס למספרי השוואה </v>
      </c>
      <c r="P20" s="701"/>
      <c r="Q20" s="620"/>
    </row>
    <row r="21" spans="2:17" s="165" customFormat="1" ht="15.75" x14ac:dyDescent="0.2">
      <c r="B21" s="619"/>
      <c r="C21" s="867">
        <v>7</v>
      </c>
      <c r="D21" s="177" t="s">
        <v>827</v>
      </c>
      <c r="E21" s="177" t="s">
        <v>752</v>
      </c>
      <c r="F21" s="623" t="str">
        <f>'רו"ה'!G9</f>
        <v>2024</v>
      </c>
      <c r="G21" s="117">
        <f>'רו"ה'!G13</f>
        <v>5751</v>
      </c>
      <c r="H21" s="177" t="s">
        <v>753</v>
      </c>
      <c r="I21" s="177" t="s">
        <v>754</v>
      </c>
      <c r="J21" s="623" t="str">
        <f>'רו"ה'!G9</f>
        <v>2024</v>
      </c>
      <c r="K21" s="117">
        <f>'ביאורים 12-29'!H381</f>
        <v>-15</v>
      </c>
      <c r="L21" s="117"/>
      <c r="M21" s="869" t="str">
        <f>IF(OR(K25=0,G25=0),"",IF(G25=K25,"תקין","לא תקין"))</f>
        <v>תקין</v>
      </c>
      <c r="N21" s="870" t="str">
        <f>IF(G25&lt;&gt;K25,G25-K25,"")</f>
        <v/>
      </c>
      <c r="O21" s="870" t="str">
        <f>IF(K25&lt;&gt;G25,"הרווח הגולמי השנה בדוח לא תואם את הביאור","")</f>
        <v/>
      </c>
      <c r="P21" s="872"/>
      <c r="Q21" s="620"/>
    </row>
    <row r="22" spans="2:17" s="165" customFormat="1" ht="15.75" x14ac:dyDescent="0.2">
      <c r="B22" s="619"/>
      <c r="C22" s="867"/>
      <c r="D22" s="177"/>
      <c r="E22" s="177"/>
      <c r="F22" s="351"/>
      <c r="G22" s="117"/>
      <c r="H22" s="177" t="s">
        <v>755</v>
      </c>
      <c r="I22" s="177" t="s">
        <v>756</v>
      </c>
      <c r="J22" s="623" t="str">
        <f>'רו"ה'!G9</f>
        <v>2024</v>
      </c>
      <c r="K22" s="117">
        <f>'ביאורים 12-29'!H430</f>
        <v>4897</v>
      </c>
      <c r="L22" s="117"/>
      <c r="M22" s="870"/>
      <c r="N22" s="870"/>
      <c r="O22" s="870"/>
      <c r="P22" s="872"/>
      <c r="Q22" s="620"/>
    </row>
    <row r="23" spans="2:17" s="165" customFormat="1" ht="15.75" x14ac:dyDescent="0.2">
      <c r="B23" s="619"/>
      <c r="C23" s="867"/>
      <c r="D23" s="177"/>
      <c r="E23" s="177"/>
      <c r="F23" s="351"/>
      <c r="G23" s="117"/>
      <c r="H23" s="177" t="s">
        <v>757</v>
      </c>
      <c r="I23" s="177" t="s">
        <v>758</v>
      </c>
      <c r="J23" s="623" t="str">
        <f>+J22</f>
        <v>2024</v>
      </c>
      <c r="K23" s="117">
        <f>+'ביאורים 12-29'!H442</f>
        <v>0</v>
      </c>
      <c r="L23" s="117"/>
      <c r="M23" s="870"/>
      <c r="N23" s="870"/>
      <c r="O23" s="870"/>
      <c r="P23" s="872"/>
      <c r="Q23" s="620"/>
    </row>
    <row r="24" spans="2:17" s="165" customFormat="1" ht="15.75" x14ac:dyDescent="0.2">
      <c r="B24" s="619"/>
      <c r="C24" s="867"/>
      <c r="D24" s="177"/>
      <c r="E24" s="177"/>
      <c r="F24" s="351"/>
      <c r="G24" s="117"/>
      <c r="H24" s="177" t="s">
        <v>759</v>
      </c>
      <c r="I24" s="177" t="s">
        <v>760</v>
      </c>
      <c r="J24" s="623" t="str">
        <f>+J23</f>
        <v>2024</v>
      </c>
      <c r="K24" s="117">
        <f>+'ביאורים 12-29'!H452-'ביאורים 12-29'!H462</f>
        <v>869</v>
      </c>
      <c r="L24" s="117"/>
      <c r="M24" s="870"/>
      <c r="N24" s="870"/>
      <c r="O24" s="870"/>
      <c r="P24" s="872"/>
      <c r="Q24" s="620"/>
    </row>
    <row r="25" spans="2:17" s="165" customFormat="1" ht="15.75" x14ac:dyDescent="0.2">
      <c r="B25" s="619"/>
      <c r="C25" s="868"/>
      <c r="D25" s="630" t="s">
        <v>138</v>
      </c>
      <c r="E25" s="630"/>
      <c r="F25" s="631"/>
      <c r="G25" s="414">
        <f>G21</f>
        <v>5751</v>
      </c>
      <c r="H25" s="630"/>
      <c r="I25" s="630"/>
      <c r="J25" s="631"/>
      <c r="K25" s="414">
        <f>K21+K22+K23+K24</f>
        <v>5751</v>
      </c>
      <c r="L25" s="414"/>
      <c r="M25" s="871"/>
      <c r="N25" s="871"/>
      <c r="O25" s="871"/>
      <c r="P25" s="873"/>
      <c r="Q25" s="620"/>
    </row>
    <row r="26" spans="2:17" s="165" customFormat="1" ht="15.75" x14ac:dyDescent="0.2">
      <c r="B26" s="619"/>
      <c r="C26" s="874">
        <v>8</v>
      </c>
      <c r="D26" s="641" t="s">
        <v>827</v>
      </c>
      <c r="E26" s="641" t="s">
        <v>752</v>
      </c>
      <c r="F26" s="642" t="str">
        <f>'רו"ה'!I9</f>
        <v>2023</v>
      </c>
      <c r="G26" s="407">
        <f>'רו"ה'!I13</f>
        <v>12876</v>
      </c>
      <c r="H26" s="641" t="s">
        <v>753</v>
      </c>
      <c r="I26" s="641" t="s">
        <v>754</v>
      </c>
      <c r="J26" s="642">
        <f>+'ביאורים 12-29'!J439</f>
        <v>2023</v>
      </c>
      <c r="K26" s="407">
        <f>'ביאורים 12-29'!J381</f>
        <v>2024</v>
      </c>
      <c r="L26" s="407"/>
      <c r="M26" s="869" t="str">
        <f>IF(OR(K30=0,G30=0),"",IF(G30=K30,"תקין","לא תקין"))</f>
        <v>תקין</v>
      </c>
      <c r="N26" s="869" t="str">
        <f>IF(G30&lt;&gt;K30,G30-K30,"")</f>
        <v/>
      </c>
      <c r="O26" s="869" t="str">
        <f>IF(K30&lt;&gt;G30,"הרווח הגולמי מספרי השוואה לא תואם את הביאור","")</f>
        <v/>
      </c>
      <c r="P26" s="875"/>
      <c r="Q26" s="620"/>
    </row>
    <row r="27" spans="2:17" s="165" customFormat="1" ht="15.75" x14ac:dyDescent="0.2">
      <c r="B27" s="619"/>
      <c r="C27" s="867"/>
      <c r="D27" s="177"/>
      <c r="E27" s="177"/>
      <c r="F27" s="351"/>
      <c r="G27" s="117"/>
      <c r="H27" s="177" t="s">
        <v>755</v>
      </c>
      <c r="I27" s="177" t="s">
        <v>756</v>
      </c>
      <c r="J27" s="623">
        <f>+J26</f>
        <v>2023</v>
      </c>
      <c r="K27" s="117">
        <f>'ביאורים 12-29'!J430</f>
        <v>8672</v>
      </c>
      <c r="L27" s="117"/>
      <c r="M27" s="870"/>
      <c r="N27" s="870"/>
      <c r="O27" s="870"/>
      <c r="P27" s="872"/>
      <c r="Q27" s="620"/>
    </row>
    <row r="28" spans="2:17" s="165" customFormat="1" ht="15.75" x14ac:dyDescent="0.2">
      <c r="B28" s="619"/>
      <c r="C28" s="867"/>
      <c r="D28" s="177"/>
      <c r="E28" s="177"/>
      <c r="F28" s="351"/>
      <c r="G28" s="117"/>
      <c r="H28" s="177" t="s">
        <v>757</v>
      </c>
      <c r="I28" s="177" t="s">
        <v>758</v>
      </c>
      <c r="J28" s="623">
        <f>+J27</f>
        <v>2023</v>
      </c>
      <c r="K28" s="117">
        <f>+'ביאורים 12-29'!J442</f>
        <v>0</v>
      </c>
      <c r="L28" s="117"/>
      <c r="M28" s="870"/>
      <c r="N28" s="870"/>
      <c r="O28" s="870"/>
      <c r="P28" s="872"/>
      <c r="Q28" s="620"/>
    </row>
    <row r="29" spans="2:17" s="165" customFormat="1" ht="15.75" x14ac:dyDescent="0.2">
      <c r="B29" s="619"/>
      <c r="C29" s="867"/>
      <c r="D29" s="177"/>
      <c r="E29" s="177"/>
      <c r="F29" s="351"/>
      <c r="G29" s="117"/>
      <c r="H29" s="177" t="s">
        <v>759</v>
      </c>
      <c r="I29" s="177" t="s">
        <v>760</v>
      </c>
      <c r="J29" s="623">
        <f>+J28</f>
        <v>2023</v>
      </c>
      <c r="K29" s="117">
        <f>+'ביאורים 12-29'!J452-'ביאורים 12-29'!J462</f>
        <v>2180</v>
      </c>
      <c r="L29" s="117"/>
      <c r="M29" s="870"/>
      <c r="N29" s="870"/>
      <c r="O29" s="870"/>
      <c r="P29" s="872"/>
      <c r="Q29" s="620"/>
    </row>
    <row r="30" spans="2:17" s="165" customFormat="1" ht="15.75" x14ac:dyDescent="0.2">
      <c r="B30" s="619"/>
      <c r="C30" s="868"/>
      <c r="D30" s="630" t="s">
        <v>138</v>
      </c>
      <c r="E30" s="630"/>
      <c r="F30" s="631"/>
      <c r="G30" s="414">
        <f>G26</f>
        <v>12876</v>
      </c>
      <c r="H30" s="630"/>
      <c r="I30" s="630"/>
      <c r="J30" s="631"/>
      <c r="K30" s="414">
        <f>K26+K27+K28+K29</f>
        <v>12876</v>
      </c>
      <c r="L30" s="414"/>
      <c r="M30" s="871"/>
      <c r="N30" s="871"/>
      <c r="O30" s="871"/>
      <c r="P30" s="873"/>
      <c r="Q30" s="620"/>
    </row>
    <row r="31" spans="2:17" s="165" customFormat="1" ht="15.75" x14ac:dyDescent="0.2">
      <c r="B31" s="619"/>
      <c r="C31" s="637">
        <v>9</v>
      </c>
      <c r="D31" s="638" t="s">
        <v>827</v>
      </c>
      <c r="E31" s="638" t="s">
        <v>761</v>
      </c>
      <c r="F31" s="639" t="str">
        <f>'רו"ה'!G9</f>
        <v>2024</v>
      </c>
      <c r="G31" s="640">
        <f>'רו"ה'!G11</f>
        <v>73183</v>
      </c>
      <c r="H31" s="638" t="s">
        <v>751</v>
      </c>
      <c r="I31" s="638" t="s">
        <v>761</v>
      </c>
      <c r="J31" s="639" t="str">
        <f>'רו"ה'!I9</f>
        <v>2023</v>
      </c>
      <c r="K31" s="640">
        <f>'רו"ה'!I11</f>
        <v>70564</v>
      </c>
      <c r="L31" s="640"/>
      <c r="M31" s="700" t="str">
        <f>IF(K31=0,"",IF(ABS(G31/K31-1)&lt;=0.05,"תקין","לא תקין"))</f>
        <v>תקין</v>
      </c>
      <c r="N31" s="704" t="str">
        <f>IF(K31=0,"",IF(ABS(G31/K31-1)&gt;0.05,G31/K31-1,""))</f>
        <v/>
      </c>
      <c r="O31" s="700" t="str">
        <f>IF(K31=0,"",IF(ABS(G31/K31-1)&gt;0.05,"סטייה  מעל 5%",""))</f>
        <v/>
      </c>
      <c r="P31" s="701"/>
      <c r="Q31" s="620"/>
    </row>
    <row r="32" spans="2:17" s="165" customFormat="1" ht="141.75" x14ac:dyDescent="0.2">
      <c r="B32" s="619"/>
      <c r="C32" s="637">
        <v>10</v>
      </c>
      <c r="D32" s="638" t="s">
        <v>827</v>
      </c>
      <c r="E32" s="638" t="s">
        <v>762</v>
      </c>
      <c r="F32" s="639" t="str">
        <f>'רו"ה'!G9</f>
        <v>2024</v>
      </c>
      <c r="G32" s="640">
        <f>'רו"ה'!G12</f>
        <v>67432</v>
      </c>
      <c r="H32" s="638" t="s">
        <v>751</v>
      </c>
      <c r="I32" s="638" t="s">
        <v>762</v>
      </c>
      <c r="J32" s="639" t="str">
        <f>'רו"ה'!I9</f>
        <v>2023</v>
      </c>
      <c r="K32" s="640">
        <f>'רו"ה'!I12</f>
        <v>57688</v>
      </c>
      <c r="L32" s="640"/>
      <c r="M32" s="700" t="str">
        <f>IF(K32=0,"",IF(ABS(G32/K32-1)&lt;=0.05,"תקין","לא תקין"))</f>
        <v>לא תקין</v>
      </c>
      <c r="N32" s="704">
        <f>IF(K32=0,"",IF(ABS(G32/K32-1)&gt;0.05,G32/K32-1,""))</f>
        <v>0.16890861184301764</v>
      </c>
      <c r="O32" s="704" t="str">
        <f>IF(K32=0,"",IF(ABS(G32/K32-1)&gt;0.05,"סטייה  מעל 5%",""))</f>
        <v>סטייה  מעל 5%</v>
      </c>
      <c r="P32" s="701" t="s">
        <v>877</v>
      </c>
      <c r="Q32" s="620"/>
    </row>
    <row r="33" spans="2:17" s="165" customFormat="1" ht="15.75" x14ac:dyDescent="0.2">
      <c r="B33" s="619"/>
      <c r="C33" s="413">
        <v>11</v>
      </c>
      <c r="D33" s="630" t="s">
        <v>70</v>
      </c>
      <c r="E33" s="630" t="s">
        <v>828</v>
      </c>
      <c r="F33" s="636" t="str">
        <f>'רו"ה'!G9</f>
        <v>2024</v>
      </c>
      <c r="G33" s="414">
        <f>'ביאורים 12-29'!H84+'ביאורים 12-29'!H187</f>
        <v>18624</v>
      </c>
      <c r="H33" s="630" t="str">
        <f>D33</f>
        <v>ביאורים 12-29</v>
      </c>
      <c r="I33" s="630" t="s">
        <v>763</v>
      </c>
      <c r="J33" s="631" t="str">
        <f>F33</f>
        <v>2024</v>
      </c>
      <c r="K33" s="414">
        <f>'ביאורים 12-29'!H99+'ביאורים 12-29'!H111+'ביאורים 12-29'!H123+'ביאורים 12-29'!H201+'ביאורים 12-29'!H213+'ביאורים 12-29'!H225+'ביאורים 12-29'!H238</f>
        <v>18624</v>
      </c>
      <c r="L33" s="414"/>
      <c r="M33" s="702" t="str">
        <f>IF(OR(G33=0,K33=0),"",IF(G33=K33,"תקין","לא תקין"))</f>
        <v>תקין</v>
      </c>
      <c r="N33" s="702" t="str">
        <f>IF(G33&lt;&gt;K33,G33-K33,"")</f>
        <v/>
      </c>
      <c r="O33" s="702" t="str">
        <f>IF(K33&lt;&gt;G33,"סך האמור בביאור 17 בשנת 2011 אינו תואם לפירעון ","")</f>
        <v/>
      </c>
      <c r="P33" s="703"/>
      <c r="Q33" s="620"/>
    </row>
    <row r="34" spans="2:17" s="165" customFormat="1" ht="15.75" x14ac:dyDescent="0.2">
      <c r="B34" s="619"/>
      <c r="C34" s="637">
        <v>12</v>
      </c>
      <c r="D34" s="638" t="s">
        <v>70</v>
      </c>
      <c r="E34" s="638" t="s">
        <v>828</v>
      </c>
      <c r="F34" s="639" t="str">
        <f>F18</f>
        <v>31/12/2023</v>
      </c>
      <c r="G34" s="640">
        <f>'ביאורים 12-29'!J84+'ביאורים 12-29'!J187</f>
        <v>24689</v>
      </c>
      <c r="H34" s="638" t="str">
        <f>H33</f>
        <v>ביאורים 12-29</v>
      </c>
      <c r="I34" s="638" t="s">
        <v>763</v>
      </c>
      <c r="J34" s="639" t="str">
        <f>F34</f>
        <v>31/12/2023</v>
      </c>
      <c r="K34" s="640">
        <f>'ביאורים 12-29'!J99+'ביאורים 12-29'!J111+'ביאורים 12-29'!J123+'ביאורים 12-29'!J201+'ביאורים 12-29'!J213+'ביאורים 12-29'!J225+'ביאורים 12-29'!J238</f>
        <v>24689</v>
      </c>
      <c r="L34" s="640"/>
      <c r="M34" s="700" t="str">
        <f>IF(OR(G34=0,K34=0),"",IF(G34=K34,"תקין","לא תקין"))</f>
        <v>תקין</v>
      </c>
      <c r="N34" s="700" t="str">
        <f>IF(G34&lt;&gt;K34,G34-K34,"")</f>
        <v/>
      </c>
      <c r="O34" s="700" t="str">
        <f>IF(K34&lt;&gt;G34,"סך האמור בביאור 17 בשנת 2010 אינו תואם לפירעון ","")</f>
        <v/>
      </c>
      <c r="P34" s="701"/>
      <c r="Q34" s="620"/>
    </row>
    <row r="35" spans="2:17" s="165" customFormat="1" ht="15.75" x14ac:dyDescent="0.2">
      <c r="B35" s="619"/>
      <c r="C35" s="413">
        <v>13</v>
      </c>
      <c r="D35" s="431" t="s">
        <v>115</v>
      </c>
      <c r="E35" s="643" t="s">
        <v>764</v>
      </c>
      <c r="F35" s="636" t="str">
        <f>'רו"ה'!G9</f>
        <v>2024</v>
      </c>
      <c r="G35" s="414">
        <f>'הון עצמי'!P30</f>
        <v>0</v>
      </c>
      <c r="H35" s="630" t="s">
        <v>765</v>
      </c>
      <c r="I35" s="643" t="s">
        <v>764</v>
      </c>
      <c r="J35" s="636" t="str">
        <f>J33</f>
        <v>2024</v>
      </c>
      <c r="K35" s="414">
        <f>תזרים!G51</f>
        <v>0</v>
      </c>
      <c r="L35" s="414"/>
      <c r="M35" s="702" t="str">
        <f>IF(OR(G35=0,K35=0),"",IF(ABS(G35=K35),"תקין","לא תקין"))</f>
        <v/>
      </c>
      <c r="N35" s="702" t="str">
        <f>IF(G35&lt;&gt;K35,G35-K35,"")</f>
        <v/>
      </c>
      <c r="O35" s="702" t="str">
        <f>IF(K35&lt;&gt;G35,"סך הדיבידנד השנה בדוח תזרים שונה מדוח על השינויים ","")</f>
        <v/>
      </c>
      <c r="P35" s="703"/>
      <c r="Q35" s="620"/>
    </row>
    <row r="36" spans="2:17" s="165" customFormat="1" ht="15.75" x14ac:dyDescent="0.2">
      <c r="B36" s="619"/>
      <c r="C36" s="413">
        <v>14</v>
      </c>
      <c r="D36" s="431" t="s">
        <v>115</v>
      </c>
      <c r="E36" s="643" t="s">
        <v>764</v>
      </c>
      <c r="F36" s="636">
        <f>F35-1</f>
        <v>2023</v>
      </c>
      <c r="G36" s="414">
        <f>'הון עצמי'!P21</f>
        <v>0</v>
      </c>
      <c r="H36" s="630" t="s">
        <v>765</v>
      </c>
      <c r="I36" s="643" t="s">
        <v>764</v>
      </c>
      <c r="J36" s="636">
        <f>J35-1</f>
        <v>2023</v>
      </c>
      <c r="K36" s="414">
        <f>תזרים!I51</f>
        <v>0</v>
      </c>
      <c r="L36" s="414"/>
      <c r="M36" s="702" t="str">
        <f>IF(OR(G36=0,K36=0),"",IF(ABS(G36=K36),"תקין","לא תקין"))</f>
        <v/>
      </c>
      <c r="N36" s="702" t="str">
        <f>IF(G36&lt;&gt;K36,G36-K36,"")</f>
        <v/>
      </c>
      <c r="O36" s="702" t="str">
        <f>IF(K36&lt;&gt;G36,"סך הדיבידנד מס' השוואה בדוח תזרים שונה מדוח על השינויים ","")</f>
        <v/>
      </c>
      <c r="P36" s="703"/>
      <c r="Q36" s="620"/>
    </row>
    <row r="37" spans="2:17" s="165" customFormat="1" ht="78.75" x14ac:dyDescent="0.2">
      <c r="B37" s="619"/>
      <c r="C37" s="413">
        <v>15</v>
      </c>
      <c r="D37" s="431" t="s">
        <v>69</v>
      </c>
      <c r="E37" s="643" t="s">
        <v>766</v>
      </c>
      <c r="F37" s="636" t="str">
        <f>'רו"ה'!G9</f>
        <v>2024</v>
      </c>
      <c r="G37" s="414">
        <f>'ביאורים 10-11'!G22+'ביאורים 10-11'!H22+'ביאורים 10-11'!I22+'ביאורים 10-11'!G96+'ביאורים 10-11'!H96+'ביאורים 10-11'!I96+'ביאורים 10-11'!G99+'ביאורים 10-11'!H99+'ביאורים 10-11'!I99</f>
        <v>21991</v>
      </c>
      <c r="H37" s="431" t="s">
        <v>746</v>
      </c>
      <c r="I37" s="643" t="s">
        <v>766</v>
      </c>
      <c r="J37" s="636" t="str">
        <f>J35</f>
        <v>2024</v>
      </c>
      <c r="K37" s="414">
        <f>-(תזרים!G22+תזרים!G23+תזרים!G24+תזרים!G26+תזרים!G27+תזרים!G28)</f>
        <v>26764</v>
      </c>
      <c r="L37" s="644"/>
      <c r="M37" s="705" t="str">
        <f>IF(OR(G37=0,K37=0),"",IF(((ROUND(G37,0))-(ROUND(K37,0))=0),"תקין","לא תקין"))</f>
        <v>לא תקין</v>
      </c>
      <c r="N37" s="705">
        <f>IF(G37&lt;&gt;K37,G37-K37,"")</f>
        <v>-4773</v>
      </c>
      <c r="O37" s="705" t="str">
        <f>IF(K37&lt;&gt;G37,"סך ההשקעה ברכוש קבוע השנה שונה מההשקעה במזומן ","")</f>
        <v xml:space="preserve">סך ההשקעה ברכוש קבוע השנה שונה מההשקעה במזומן </v>
      </c>
      <c r="P37" s="703" t="s">
        <v>875</v>
      </c>
      <c r="Q37" s="620"/>
    </row>
    <row r="38" spans="2:17" s="165" customFormat="1" ht="15.75" x14ac:dyDescent="0.2">
      <c r="B38" s="619"/>
      <c r="C38" s="413">
        <v>16</v>
      </c>
      <c r="D38" s="431" t="s">
        <v>68</v>
      </c>
      <c r="E38" s="643" t="s">
        <v>80</v>
      </c>
      <c r="F38" s="636" t="str">
        <f>'רו"ה'!G9</f>
        <v>2024</v>
      </c>
      <c r="G38" s="414">
        <f>SUM('ביאורים 1-9'!H220:H224)-SUM('ביאורים 1-9'!J220:J224)</f>
        <v>3901</v>
      </c>
      <c r="H38" s="431" t="s">
        <v>143</v>
      </c>
      <c r="I38" s="643" t="s">
        <v>80</v>
      </c>
      <c r="J38" s="636" t="str">
        <f>J37</f>
        <v>2024</v>
      </c>
      <c r="K38" s="414">
        <f>'נספח א'!H31</f>
        <v>-3901</v>
      </c>
      <c r="L38" s="644"/>
      <c r="M38" s="705" t="str">
        <f>IF(OR(G38=0,K38=0),"",IF((G38+K38=0),"תקין","לא תקין"))</f>
        <v>תקין</v>
      </c>
      <c r="N38" s="705">
        <f>IF(G38&lt;&gt;K38,G38+K38,"")</f>
        <v>0</v>
      </c>
      <c r="O38" s="705" t="str">
        <f>IF(K38+G38&lt;&gt;0,"סך השינוי בצרכנים שונה מהשינוי בדוח תזרים השנה ","")</f>
        <v/>
      </c>
      <c r="P38" s="703"/>
      <c r="Q38" s="620"/>
    </row>
    <row r="39" spans="2:17" s="165" customFormat="1" ht="31.5" x14ac:dyDescent="0.2">
      <c r="B39" s="619"/>
      <c r="C39" s="413">
        <v>17</v>
      </c>
      <c r="D39" s="431" t="s">
        <v>69</v>
      </c>
      <c r="E39" s="643" t="s">
        <v>767</v>
      </c>
      <c r="F39" s="636" t="str">
        <f>'רו"ה'!G9</f>
        <v>2024</v>
      </c>
      <c r="G39" s="414">
        <f>'ביאורים 10-11'!G22</f>
        <v>4395</v>
      </c>
      <c r="H39" s="431" t="s">
        <v>768</v>
      </c>
      <c r="I39" s="643" t="s">
        <v>767</v>
      </c>
      <c r="J39" s="636" t="str">
        <f>J38</f>
        <v>2024</v>
      </c>
      <c r="K39" s="414">
        <f>'ביאור 10 פירוט'!J36</f>
        <v>4395</v>
      </c>
      <c r="L39" s="644"/>
      <c r="M39" s="705" t="str">
        <f>IF(OR(G39=0,K39=0),"",IF(((ROUND(G39,0))-(ROUND(K39,0))=0),"תקין","לא תקין"))</f>
        <v>תקין</v>
      </c>
      <c r="N39" s="705" t="str">
        <f t="shared" ref="N39:N42" si="0">IF(G39&lt;&gt;K39,G39+K39,"")</f>
        <v/>
      </c>
      <c r="O39" s="705" t="str">
        <f t="shared" ref="O39:O42" si="1">IF(K39+G39&lt;&gt;0,"סך השינוי בצרכנים שונה מהשינוי בדוח תזרים השנה ","")</f>
        <v xml:space="preserve">סך השינוי בצרכנים שונה מהשינוי בדוח תזרים השנה </v>
      </c>
      <c r="P39" s="703"/>
      <c r="Q39" s="620"/>
    </row>
    <row r="40" spans="2:17" s="165" customFormat="1" ht="31.5" x14ac:dyDescent="0.2">
      <c r="B40" s="619"/>
      <c r="C40" s="413">
        <v>18</v>
      </c>
      <c r="D40" s="431" t="s">
        <v>69</v>
      </c>
      <c r="E40" s="643" t="s">
        <v>769</v>
      </c>
      <c r="F40" s="636" t="str">
        <f>'רו"ה'!G9</f>
        <v>2024</v>
      </c>
      <c r="G40" s="414">
        <f>'ביאורים 10-11'!H22</f>
        <v>17576</v>
      </c>
      <c r="H40" s="431" t="s">
        <v>768</v>
      </c>
      <c r="I40" s="643" t="s">
        <v>769</v>
      </c>
      <c r="J40" s="636" t="str">
        <f t="shared" ref="J40:J42" si="2">J39</f>
        <v>2024</v>
      </c>
      <c r="K40" s="414">
        <f>'ביאור 10 פירוט'!J50</f>
        <v>17576</v>
      </c>
      <c r="L40" s="644"/>
      <c r="M40" s="702" t="str">
        <f>IF(OR(G40=0,K40=0),"",IF(((ROUND(G40,0))-(ROUND(K40,0))=0),"תקין","לא תקין"))</f>
        <v>תקין</v>
      </c>
      <c r="N40" s="705" t="str">
        <f t="shared" si="0"/>
        <v/>
      </c>
      <c r="O40" s="705" t="str">
        <f t="shared" si="1"/>
        <v xml:space="preserve">סך השינוי בצרכנים שונה מהשינוי בדוח תזרים השנה </v>
      </c>
      <c r="P40" s="703"/>
      <c r="Q40" s="620"/>
    </row>
    <row r="41" spans="2:17" s="165" customFormat="1" ht="78.75" x14ac:dyDescent="0.2">
      <c r="B41" s="619"/>
      <c r="C41" s="413">
        <v>19</v>
      </c>
      <c r="D41" s="431" t="s">
        <v>69</v>
      </c>
      <c r="E41" s="643" t="s">
        <v>770</v>
      </c>
      <c r="F41" s="636" t="str">
        <f>'רו"ה'!G9</f>
        <v>2024</v>
      </c>
      <c r="G41" s="414">
        <f>'ביאורים 10-11'!G37</f>
        <v>3180</v>
      </c>
      <c r="H41" s="431" t="s">
        <v>768</v>
      </c>
      <c r="I41" s="643" t="s">
        <v>770</v>
      </c>
      <c r="J41" s="636" t="str">
        <f t="shared" si="2"/>
        <v>2024</v>
      </c>
      <c r="K41" s="414">
        <f>'ביאור 10 פירוט'!V36</f>
        <v>3184</v>
      </c>
      <c r="L41" s="644"/>
      <c r="M41" s="702" t="str">
        <f>IF(OR(G41=0,K41=0),"",IF(((ROUND(G41,0))-(ROUND(K41,0))=0),"תקין","לא תקין"))</f>
        <v>לא תקין</v>
      </c>
      <c r="N41" s="705">
        <f t="shared" si="0"/>
        <v>6364</v>
      </c>
      <c r="O41" s="705" t="str">
        <f t="shared" si="1"/>
        <v xml:space="preserve">סך השינוי בצרכנים שונה מהשינוי בדוח תזרים השנה </v>
      </c>
      <c r="P41" s="703" t="s">
        <v>876</v>
      </c>
      <c r="Q41" s="620"/>
    </row>
    <row r="42" spans="2:17" s="165" customFormat="1" ht="31.5" x14ac:dyDescent="0.2">
      <c r="B42" s="619"/>
      <c r="C42" s="413">
        <v>20</v>
      </c>
      <c r="D42" s="431" t="s">
        <v>69</v>
      </c>
      <c r="E42" s="643" t="s">
        <v>771</v>
      </c>
      <c r="F42" s="636" t="str">
        <f>'רו"ה'!G9</f>
        <v>2024</v>
      </c>
      <c r="G42" s="414">
        <f>'ביאורים 10-11'!H37</f>
        <v>7332</v>
      </c>
      <c r="H42" s="431" t="s">
        <v>768</v>
      </c>
      <c r="I42" s="643" t="s">
        <v>771</v>
      </c>
      <c r="J42" s="636" t="str">
        <f t="shared" si="2"/>
        <v>2024</v>
      </c>
      <c r="K42" s="414">
        <f>'ביאור 10 פירוט'!V50</f>
        <v>7332</v>
      </c>
      <c r="L42" s="644"/>
      <c r="M42" s="702" t="str">
        <f>IF(OR(G42=0,K42=0),"",IF(((ROUND(G42,0))-(ROUND(K42,0))=0),"תקין","לא תקין"))</f>
        <v>תקין</v>
      </c>
      <c r="N42" s="705" t="str">
        <f t="shared" si="0"/>
        <v/>
      </c>
      <c r="O42" s="705" t="str">
        <f t="shared" si="1"/>
        <v xml:space="preserve">סך השינוי בצרכנים שונה מהשינוי בדוח תזרים השנה </v>
      </c>
      <c r="P42" s="703"/>
      <c r="Q42" s="620"/>
    </row>
    <row r="43" spans="2:17" s="165" customFormat="1" ht="16.5" thickBot="1" x14ac:dyDescent="0.25">
      <c r="B43" s="625"/>
      <c r="C43" s="626"/>
      <c r="D43" s="626"/>
      <c r="E43" s="713"/>
      <c r="F43" s="352"/>
      <c r="G43" s="352"/>
      <c r="H43" s="713"/>
      <c r="I43" s="713"/>
      <c r="J43" s="352"/>
      <c r="K43" s="352"/>
      <c r="L43" s="352"/>
      <c r="M43" s="706"/>
      <c r="N43" s="706"/>
      <c r="O43" s="706"/>
      <c r="P43" s="707"/>
      <c r="Q43" s="627"/>
    </row>
    <row r="44" spans="2:17" s="165" customFormat="1" ht="15.75" x14ac:dyDescent="0.2">
      <c r="E44" s="177"/>
      <c r="F44" s="117"/>
      <c r="G44" s="117"/>
      <c r="H44" s="177"/>
      <c r="J44" s="117"/>
      <c r="K44" s="117"/>
      <c r="L44" s="117"/>
      <c r="M44" s="697"/>
      <c r="N44" s="697"/>
      <c r="O44" s="697"/>
      <c r="P44" s="217"/>
    </row>
    <row r="45" spans="2:17" s="165" customFormat="1" ht="15.75" x14ac:dyDescent="0.2">
      <c r="E45" s="177"/>
      <c r="F45" s="117"/>
      <c r="G45" s="117"/>
      <c r="H45" s="177"/>
      <c r="J45" s="117"/>
      <c r="K45" s="117"/>
      <c r="L45" s="117"/>
      <c r="M45" s="697"/>
      <c r="N45" s="697"/>
      <c r="O45" s="697"/>
      <c r="P45" s="217"/>
    </row>
    <row r="46" spans="2:17" s="165" customFormat="1" ht="15.75" x14ac:dyDescent="0.2">
      <c r="E46" s="177"/>
      <c r="F46" s="117"/>
      <c r="G46" s="117"/>
      <c r="H46" s="177"/>
      <c r="J46" s="117"/>
      <c r="K46" s="117"/>
      <c r="L46" s="117"/>
      <c r="M46" s="697"/>
      <c r="N46" s="697"/>
      <c r="O46" s="697"/>
      <c r="P46" s="217"/>
    </row>
    <row r="47" spans="2:17" s="165" customFormat="1" ht="15.75" x14ac:dyDescent="0.2">
      <c r="F47" s="117"/>
      <c r="G47" s="117"/>
      <c r="J47" s="117"/>
      <c r="K47" s="117"/>
      <c r="L47" s="117"/>
      <c r="M47" s="697"/>
      <c r="N47" s="697"/>
      <c r="O47" s="697"/>
      <c r="P47" s="217"/>
    </row>
  </sheetData>
  <sheetProtection algorithmName="SHA-512" hashValue="WWRf9hqZq9PYhM0y9GqBhvWl67xnJq15UJZSup5hyf5MphoQjTWvgJox73eA6hZFQSwXfwNa79/OypedxgdF6g==" saltValue="rcLkzQKpU8eSihv0wjOLeA==" spinCount="100000" sheet="1" formatRows="0"/>
  <mergeCells count="18">
    <mergeCell ref="C12:K12"/>
    <mergeCell ref="M12:P12"/>
    <mergeCell ref="D13:G13"/>
    <mergeCell ref="H13:K13"/>
    <mergeCell ref="M13:M14"/>
    <mergeCell ref="N13:N14"/>
    <mergeCell ref="O13:O14"/>
    <mergeCell ref="P13:P14"/>
    <mergeCell ref="C26:C30"/>
    <mergeCell ref="M26:M30"/>
    <mergeCell ref="N26:N30"/>
    <mergeCell ref="O26:O30"/>
    <mergeCell ref="P26:P30"/>
    <mergeCell ref="C21:C25"/>
    <mergeCell ref="M21:M25"/>
    <mergeCell ref="N21:N25"/>
    <mergeCell ref="O21:O25"/>
    <mergeCell ref="P21:P25"/>
  </mergeCells>
  <conditionalFormatting sqref="M16:M42">
    <cfRule type="containsText" dxfId="0" priority="1" operator="containsText" text="לא תקין">
      <formula>NOT(ISERROR(SEARCH("לא תקין",M16)))</formula>
    </cfRule>
  </conditionalFormatting>
  <hyperlinks>
    <hyperlink ref="A6" location="'תוכן עניינים'!A1" display="תוכן עניינים" xr:uid="{00000000-0004-0000-1100-000000000000}"/>
  </hyperlinks>
  <pageMargins left="0.7" right="0.7" top="0.75" bottom="0.75" header="0.3" footer="0.3"/>
  <pageSetup paperSize="9" orientation="portrait" r:id="rId1"/>
  <ignoredErrors>
    <ignoredError sqref="M38 F3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dimension ref="A1:N58"/>
  <sheetViews>
    <sheetView showGridLines="0" rightToLeft="1" zoomScaleNormal="100" workbookViewId="0">
      <selection activeCell="N20" sqref="N20"/>
    </sheetView>
  </sheetViews>
  <sheetFormatPr defaultColWidth="8" defaultRowHeight="15" x14ac:dyDescent="0.25"/>
  <cols>
    <col min="1" max="2" width="8" style="1"/>
    <col min="3" max="3" width="11.75" style="1" customWidth="1"/>
    <col min="4" max="4" width="5.125" style="1" customWidth="1"/>
    <col min="5" max="5" width="11.75" style="1" customWidth="1"/>
    <col min="6" max="6" width="3.25" style="1" customWidth="1"/>
    <col min="7" max="7" width="25.75" style="1" customWidth="1"/>
    <col min="8" max="8" width="8" style="1"/>
    <col min="9" max="9" width="21.5" style="1" hidden="1" customWidth="1"/>
    <col min="10" max="10" width="7.75" style="24" hidden="1" customWidth="1"/>
    <col min="11" max="11" width="43" style="26" hidden="1" customWidth="1"/>
    <col min="12" max="13" width="8" style="1" customWidth="1"/>
    <col min="14" max="16384" width="8" style="1"/>
  </cols>
  <sheetData>
    <row r="1" spans="1:14" ht="26.25" x14ac:dyDescent="0.4">
      <c r="A1" s="11" t="s">
        <v>776</v>
      </c>
      <c r="B1" s="5"/>
      <c r="C1" s="12">
        <f>הנחיות!C1</f>
        <v>2024</v>
      </c>
      <c r="D1" s="5"/>
      <c r="E1" s="5"/>
      <c r="F1" s="5"/>
      <c r="G1" s="5"/>
      <c r="H1" s="28"/>
      <c r="I1" s="28"/>
      <c r="J1" s="24">
        <v>1</v>
      </c>
      <c r="K1" s="25" t="s">
        <v>52</v>
      </c>
      <c r="N1" s="23"/>
    </row>
    <row r="2" spans="1:14" ht="21" x14ac:dyDescent="0.35">
      <c r="A2" s="13" t="s">
        <v>772</v>
      </c>
      <c r="B2" s="6"/>
      <c r="C2" s="15" t="s">
        <v>13</v>
      </c>
      <c r="D2" s="6"/>
      <c r="E2" s="6"/>
      <c r="F2" s="6"/>
      <c r="G2" s="6"/>
      <c r="H2" s="28"/>
      <c r="I2" s="28"/>
      <c r="J2" s="24">
        <v>2</v>
      </c>
      <c r="K2" s="25" t="s">
        <v>61</v>
      </c>
    </row>
    <row r="3" spans="1:14" ht="17.100000000000001" customHeight="1" x14ac:dyDescent="0.25">
      <c r="A3" s="7"/>
      <c r="B3" s="6"/>
      <c r="C3" s="6"/>
      <c r="D3" s="6"/>
      <c r="E3" s="6"/>
      <c r="F3" s="6"/>
      <c r="G3" s="6"/>
      <c r="H3" s="28"/>
      <c r="I3" s="28"/>
      <c r="J3" s="24">
        <v>3</v>
      </c>
      <c r="K3" s="25" t="s">
        <v>11</v>
      </c>
    </row>
    <row r="4" spans="1:14" ht="17.100000000000001" customHeight="1" x14ac:dyDescent="0.25">
      <c r="A4" s="28"/>
      <c r="B4" s="28"/>
      <c r="C4" s="28"/>
      <c r="D4" s="28"/>
      <c r="E4" s="28"/>
      <c r="F4" s="29"/>
      <c r="G4" s="28"/>
      <c r="H4" s="28"/>
      <c r="I4" s="28"/>
      <c r="J4" s="24">
        <v>4</v>
      </c>
      <c r="K4" s="25" t="s">
        <v>12</v>
      </c>
    </row>
    <row r="5" spans="1:14" ht="17.100000000000001" customHeight="1" x14ac:dyDescent="0.25">
      <c r="A5" s="28"/>
      <c r="B5" s="28"/>
      <c r="C5" s="28"/>
      <c r="D5" s="28"/>
      <c r="E5" s="28"/>
      <c r="F5" s="29"/>
      <c r="G5" s="28"/>
      <c r="H5" s="28"/>
      <c r="I5" s="28"/>
      <c r="J5" s="24">
        <v>5</v>
      </c>
      <c r="K5" s="25" t="s">
        <v>14</v>
      </c>
    </row>
    <row r="6" spans="1:14" ht="21.75" thickBot="1" x14ac:dyDescent="0.35">
      <c r="A6" s="30" t="s">
        <v>1</v>
      </c>
      <c r="B6" s="27"/>
      <c r="C6" s="4"/>
      <c r="D6" s="4"/>
      <c r="E6" s="4"/>
      <c r="F6" s="29"/>
      <c r="G6" s="4"/>
      <c r="H6" s="4"/>
      <c r="I6" s="4"/>
      <c r="J6" s="24">
        <v>6</v>
      </c>
      <c r="K6" s="25" t="s">
        <v>15</v>
      </c>
    </row>
    <row r="7" spans="1:14" ht="15.75" x14ac:dyDescent="0.25">
      <c r="A7" s="4"/>
      <c r="B7" s="33"/>
      <c r="C7" s="34"/>
      <c r="D7" s="34"/>
      <c r="E7" s="34"/>
      <c r="F7" s="34"/>
      <c r="G7" s="35"/>
      <c r="H7" s="4"/>
      <c r="I7" s="4"/>
      <c r="J7" s="24">
        <v>7</v>
      </c>
      <c r="K7" s="25" t="s">
        <v>16</v>
      </c>
    </row>
    <row r="8" spans="1:14" ht="15.75" x14ac:dyDescent="0.25">
      <c r="A8" s="4"/>
      <c r="B8" s="36"/>
      <c r="C8" s="4"/>
      <c r="D8" s="4"/>
      <c r="E8" s="4"/>
      <c r="F8" s="4"/>
      <c r="G8" s="37"/>
      <c r="H8" s="4"/>
      <c r="I8" s="4"/>
      <c r="J8" s="24">
        <v>8</v>
      </c>
      <c r="K8" s="25" t="s">
        <v>838</v>
      </c>
    </row>
    <row r="9" spans="1:14" ht="32.25" customHeight="1" x14ac:dyDescent="0.25">
      <c r="A9" s="4"/>
      <c r="B9" s="36"/>
      <c r="C9" s="4"/>
      <c r="D9" s="4"/>
      <c r="E9" s="32" t="s">
        <v>773</v>
      </c>
      <c r="F9" s="31"/>
      <c r="G9" s="708" t="s">
        <v>43</v>
      </c>
      <c r="H9" s="4"/>
      <c r="I9" s="4"/>
      <c r="J9" s="24">
        <v>9</v>
      </c>
      <c r="K9" s="25" t="s">
        <v>17</v>
      </c>
    </row>
    <row r="10" spans="1:14" ht="15.75" x14ac:dyDescent="0.25">
      <c r="A10" s="4"/>
      <c r="B10" s="36"/>
      <c r="C10" s="4"/>
      <c r="D10" s="4"/>
      <c r="E10" s="32"/>
      <c r="F10" s="31"/>
      <c r="G10" s="45"/>
      <c r="H10" s="4"/>
      <c r="I10" s="4"/>
      <c r="J10" s="24">
        <v>10</v>
      </c>
      <c r="K10" s="25" t="s">
        <v>44</v>
      </c>
    </row>
    <row r="11" spans="1:14" s="51" customFormat="1" ht="18.75" customHeight="1" x14ac:dyDescent="0.2">
      <c r="A11" s="47"/>
      <c r="B11" s="48"/>
      <c r="C11" s="47"/>
      <c r="D11" s="47"/>
      <c r="E11" s="32" t="s">
        <v>774</v>
      </c>
      <c r="F11" s="32"/>
      <c r="G11" s="538">
        <f>C1</f>
        <v>2024</v>
      </c>
      <c r="H11" s="47"/>
      <c r="I11" s="47"/>
      <c r="J11" s="49">
        <v>11</v>
      </c>
      <c r="K11" s="25" t="s">
        <v>48</v>
      </c>
    </row>
    <row r="12" spans="1:14" ht="15.75" x14ac:dyDescent="0.25">
      <c r="A12" s="4"/>
      <c r="B12" s="36"/>
      <c r="C12" s="4"/>
      <c r="D12" s="4"/>
      <c r="E12" s="32"/>
      <c r="F12" s="31"/>
      <c r="G12" s="45"/>
      <c r="H12" s="4"/>
      <c r="I12" s="4"/>
      <c r="J12" s="24">
        <v>12</v>
      </c>
      <c r="K12" s="25" t="s">
        <v>54</v>
      </c>
    </row>
    <row r="13" spans="1:14" s="51" customFormat="1" ht="18.75" customHeight="1" x14ac:dyDescent="0.2">
      <c r="A13" s="47"/>
      <c r="B13" s="48"/>
      <c r="C13" s="47"/>
      <c r="D13" s="47"/>
      <c r="E13" s="32" t="s">
        <v>775</v>
      </c>
      <c r="F13" s="32"/>
      <c r="G13" s="538">
        <f>G11-1</f>
        <v>2023</v>
      </c>
      <c r="H13" s="47"/>
      <c r="I13" s="47"/>
      <c r="J13" s="49">
        <v>13</v>
      </c>
      <c r="K13" s="25" t="s">
        <v>10</v>
      </c>
    </row>
    <row r="14" spans="1:14" ht="16.5" thickBot="1" x14ac:dyDescent="0.3">
      <c r="A14" s="4"/>
      <c r="B14" s="19"/>
      <c r="C14" s="20"/>
      <c r="D14" s="20"/>
      <c r="E14" s="20"/>
      <c r="F14" s="20"/>
      <c r="G14" s="46"/>
      <c r="H14" s="4"/>
      <c r="I14" s="4"/>
      <c r="J14" s="24">
        <v>14</v>
      </c>
      <c r="K14" s="25" t="s">
        <v>47</v>
      </c>
    </row>
    <row r="15" spans="1:14" ht="16.5" thickBot="1" x14ac:dyDescent="0.3">
      <c r="A15" s="4"/>
      <c r="B15" s="4"/>
      <c r="C15" s="4"/>
      <c r="D15" s="4"/>
      <c r="E15" s="4"/>
      <c r="F15" s="4"/>
      <c r="G15" s="4"/>
      <c r="H15" s="4"/>
      <c r="I15" s="4"/>
      <c r="J15" s="24">
        <v>15</v>
      </c>
      <c r="K15" s="25" t="s">
        <v>46</v>
      </c>
    </row>
    <row r="16" spans="1:14" ht="15.75" x14ac:dyDescent="0.25">
      <c r="A16" s="4"/>
      <c r="B16" s="246" t="s">
        <v>790</v>
      </c>
      <c r="C16" s="34"/>
      <c r="D16" s="34"/>
      <c r="E16" s="34"/>
      <c r="F16" s="34"/>
      <c r="G16" s="35"/>
      <c r="H16" s="4"/>
      <c r="I16" s="4"/>
      <c r="J16" s="24">
        <v>16</v>
      </c>
      <c r="K16" s="25" t="s">
        <v>53</v>
      </c>
    </row>
    <row r="17" spans="2:11" x14ac:dyDescent="0.25">
      <c r="B17" s="247"/>
      <c r="G17" s="248"/>
      <c r="J17" s="24">
        <v>17</v>
      </c>
      <c r="K17" s="25" t="s">
        <v>840</v>
      </c>
    </row>
    <row r="18" spans="2:11" ht="21.75" customHeight="1" x14ac:dyDescent="0.25">
      <c r="B18" s="247"/>
      <c r="E18" s="251" t="s">
        <v>791</v>
      </c>
      <c r="G18" s="540" t="s">
        <v>843</v>
      </c>
      <c r="J18" s="24">
        <v>18</v>
      </c>
      <c r="K18" s="25" t="s">
        <v>51</v>
      </c>
    </row>
    <row r="19" spans="2:11" x14ac:dyDescent="0.25">
      <c r="B19" s="247"/>
      <c r="E19" s="251"/>
      <c r="G19" s="254"/>
      <c r="J19" s="24">
        <v>19</v>
      </c>
      <c r="K19" s="25" t="s">
        <v>36</v>
      </c>
    </row>
    <row r="20" spans="2:11" ht="21.75" customHeight="1" x14ac:dyDescent="0.25">
      <c r="B20" s="247"/>
      <c r="E20" s="251" t="s">
        <v>792</v>
      </c>
      <c r="G20" s="540"/>
      <c r="J20" s="24">
        <v>20</v>
      </c>
      <c r="K20" s="25" t="s">
        <v>18</v>
      </c>
    </row>
    <row r="21" spans="2:11" x14ac:dyDescent="0.25">
      <c r="B21" s="247"/>
      <c r="E21" s="251"/>
      <c r="G21" s="254"/>
      <c r="J21" s="24">
        <v>21</v>
      </c>
      <c r="K21" s="25" t="s">
        <v>39</v>
      </c>
    </row>
    <row r="22" spans="2:11" ht="21.75" customHeight="1" x14ac:dyDescent="0.25">
      <c r="B22" s="247"/>
      <c r="E22" s="251" t="s">
        <v>793</v>
      </c>
      <c r="G22" s="540">
        <v>542353013</v>
      </c>
      <c r="J22" s="24">
        <v>22</v>
      </c>
      <c r="K22" s="25" t="s">
        <v>38</v>
      </c>
    </row>
    <row r="23" spans="2:11" x14ac:dyDescent="0.25">
      <c r="B23" s="247"/>
      <c r="E23" s="252"/>
      <c r="G23" s="254"/>
      <c r="J23" s="24">
        <v>23</v>
      </c>
      <c r="K23" s="25" t="s">
        <v>19</v>
      </c>
    </row>
    <row r="24" spans="2:11" ht="21.75" customHeight="1" thickBot="1" x14ac:dyDescent="0.3">
      <c r="B24" s="249"/>
      <c r="C24" s="250"/>
      <c r="D24" s="250"/>
      <c r="E24" s="253" t="s">
        <v>794</v>
      </c>
      <c r="F24" s="250"/>
      <c r="G24" s="539" t="s">
        <v>844</v>
      </c>
      <c r="J24" s="24">
        <v>24</v>
      </c>
      <c r="K24" s="25" t="s">
        <v>31</v>
      </c>
    </row>
    <row r="25" spans="2:11" x14ac:dyDescent="0.25">
      <c r="J25" s="24">
        <v>25</v>
      </c>
      <c r="K25" s="25" t="s">
        <v>836</v>
      </c>
    </row>
    <row r="26" spans="2:11" x14ac:dyDescent="0.25">
      <c r="J26" s="24">
        <v>26</v>
      </c>
      <c r="K26" s="50" t="s">
        <v>20</v>
      </c>
    </row>
    <row r="27" spans="2:11" x14ac:dyDescent="0.25">
      <c r="J27" s="24">
        <v>27</v>
      </c>
      <c r="K27" s="25" t="s">
        <v>21</v>
      </c>
    </row>
    <row r="28" spans="2:11" x14ac:dyDescent="0.25">
      <c r="J28" s="24">
        <v>28</v>
      </c>
      <c r="K28" s="25" t="s">
        <v>50</v>
      </c>
    </row>
    <row r="29" spans="2:11" x14ac:dyDescent="0.25">
      <c r="J29" s="24">
        <v>29</v>
      </c>
      <c r="K29" s="50" t="s">
        <v>22</v>
      </c>
    </row>
    <row r="30" spans="2:11" x14ac:dyDescent="0.25">
      <c r="J30" s="24">
        <v>30</v>
      </c>
      <c r="K30" s="25" t="s">
        <v>35</v>
      </c>
    </row>
    <row r="31" spans="2:11" x14ac:dyDescent="0.25">
      <c r="J31" s="24">
        <v>31</v>
      </c>
      <c r="K31" s="25" t="s">
        <v>41</v>
      </c>
    </row>
    <row r="32" spans="2:11" x14ac:dyDescent="0.25">
      <c r="J32" s="24">
        <v>32</v>
      </c>
      <c r="K32" s="25" t="s">
        <v>839</v>
      </c>
    </row>
    <row r="33" spans="10:11" x14ac:dyDescent="0.25">
      <c r="J33" s="24">
        <v>33</v>
      </c>
      <c r="K33" s="25" t="s">
        <v>34</v>
      </c>
    </row>
    <row r="34" spans="10:11" x14ac:dyDescent="0.25">
      <c r="J34" s="24">
        <v>34</v>
      </c>
      <c r="K34" s="25" t="s">
        <v>23</v>
      </c>
    </row>
    <row r="35" spans="10:11" x14ac:dyDescent="0.25">
      <c r="J35" s="24">
        <v>35</v>
      </c>
      <c r="K35" s="25" t="s">
        <v>24</v>
      </c>
    </row>
    <row r="36" spans="10:11" x14ac:dyDescent="0.25">
      <c r="J36" s="24">
        <v>36</v>
      </c>
      <c r="K36" s="25" t="s">
        <v>57</v>
      </c>
    </row>
    <row r="37" spans="10:11" x14ac:dyDescent="0.25">
      <c r="J37" s="24">
        <v>37</v>
      </c>
      <c r="K37" s="25" t="s">
        <v>25</v>
      </c>
    </row>
    <row r="38" spans="10:11" x14ac:dyDescent="0.25">
      <c r="J38" s="24">
        <v>38</v>
      </c>
      <c r="K38" s="25" t="s">
        <v>26</v>
      </c>
    </row>
    <row r="39" spans="10:11" x14ac:dyDescent="0.25">
      <c r="J39" s="24">
        <v>39</v>
      </c>
      <c r="K39" s="25" t="s">
        <v>27</v>
      </c>
    </row>
    <row r="40" spans="10:11" x14ac:dyDescent="0.25">
      <c r="J40" s="24">
        <v>40</v>
      </c>
      <c r="K40" s="25" t="s">
        <v>33</v>
      </c>
    </row>
    <row r="41" spans="10:11" x14ac:dyDescent="0.25">
      <c r="J41" s="24">
        <v>41</v>
      </c>
      <c r="K41" s="25" t="s">
        <v>55</v>
      </c>
    </row>
    <row r="42" spans="10:11" x14ac:dyDescent="0.25">
      <c r="J42" s="24">
        <v>42</v>
      </c>
      <c r="K42" s="25" t="s">
        <v>837</v>
      </c>
    </row>
    <row r="43" spans="10:11" x14ac:dyDescent="0.25">
      <c r="J43" s="24">
        <v>43</v>
      </c>
      <c r="K43" s="25" t="s">
        <v>56</v>
      </c>
    </row>
    <row r="44" spans="10:11" x14ac:dyDescent="0.25">
      <c r="J44" s="24">
        <v>44</v>
      </c>
      <c r="K44" s="25" t="s">
        <v>45</v>
      </c>
    </row>
    <row r="45" spans="10:11" x14ac:dyDescent="0.25">
      <c r="J45" s="24">
        <v>45</v>
      </c>
      <c r="K45" s="25" t="s">
        <v>32</v>
      </c>
    </row>
    <row r="46" spans="10:11" x14ac:dyDescent="0.25">
      <c r="J46" s="24">
        <v>46</v>
      </c>
      <c r="K46" s="25" t="s">
        <v>58</v>
      </c>
    </row>
    <row r="47" spans="10:11" x14ac:dyDescent="0.25">
      <c r="J47" s="24">
        <v>47</v>
      </c>
      <c r="K47" s="25" t="s">
        <v>59</v>
      </c>
    </row>
    <row r="48" spans="10:11" x14ac:dyDescent="0.25">
      <c r="J48" s="24">
        <v>48</v>
      </c>
      <c r="K48" s="25" t="s">
        <v>49</v>
      </c>
    </row>
    <row r="49" spans="10:11" x14ac:dyDescent="0.25">
      <c r="J49" s="24">
        <v>49</v>
      </c>
      <c r="K49" s="25" t="s">
        <v>42</v>
      </c>
    </row>
    <row r="50" spans="10:11" x14ac:dyDescent="0.25">
      <c r="J50" s="24">
        <v>50</v>
      </c>
      <c r="K50" s="25" t="s">
        <v>40</v>
      </c>
    </row>
    <row r="51" spans="10:11" x14ac:dyDescent="0.25">
      <c r="J51" s="24">
        <v>51</v>
      </c>
      <c r="K51" s="25" t="s">
        <v>28</v>
      </c>
    </row>
    <row r="52" spans="10:11" x14ac:dyDescent="0.25">
      <c r="J52" s="24">
        <v>52</v>
      </c>
      <c r="K52" s="25" t="s">
        <v>29</v>
      </c>
    </row>
    <row r="53" spans="10:11" x14ac:dyDescent="0.25">
      <c r="J53" s="24">
        <v>53</v>
      </c>
      <c r="K53" s="25" t="s">
        <v>60</v>
      </c>
    </row>
    <row r="54" spans="10:11" x14ac:dyDescent="0.25">
      <c r="J54" s="24">
        <v>54</v>
      </c>
      <c r="K54" s="25" t="s">
        <v>43</v>
      </c>
    </row>
    <row r="55" spans="10:11" x14ac:dyDescent="0.25">
      <c r="J55" s="24">
        <v>55</v>
      </c>
      <c r="K55" s="25" t="s">
        <v>37</v>
      </c>
    </row>
    <row r="56" spans="10:11" x14ac:dyDescent="0.25">
      <c r="J56" s="24">
        <v>56</v>
      </c>
      <c r="K56" s="25" t="s">
        <v>30</v>
      </c>
    </row>
    <row r="58" spans="10:11" x14ac:dyDescent="0.25">
      <c r="K58" s="26">
        <v>15</v>
      </c>
    </row>
  </sheetData>
  <sheetProtection algorithmName="SHA-512" hashValue="O0p7zJLLj1aYlmqh/NvKBjgJiE3N4FEbufhgaBeN3cpPsQ+BCEnnVizdkcGrJapPfIfCIrmMeb8WaOuelogS0g==" saltValue="DQ+IABf+hLFeSvBaYk51Dg==" spinCount="100000" sheet="1" objects="1" scenarios="1"/>
  <sortState xmlns:xlrd2="http://schemas.microsoft.com/office/spreadsheetml/2017/richdata2" ref="K1:K56">
    <sortCondition ref="K1:K56"/>
  </sortState>
  <dataValidations count="2">
    <dataValidation type="list" allowBlank="1" showInputMessage="1" showErrorMessage="1" sqref="G9" xr:uid="{00000000-0002-0000-0100-000000000000}">
      <formula1>$K$1:$K$56</formula1>
    </dataValidation>
    <dataValidation type="textLength" operator="notBetween" allowBlank="1" showInputMessage="1" showErrorMessage="1" errorTitle="שגיאה בהקלדת התאריך" error="במידה והדוחות מתייחסים לשנה שלמה יש להכניס את השנה בלבד, במידה והדוחות מתיחסים לחלק מהשנה יש לרשום את השנה תוך סימון &quot;.&quot; בין הנתונים לדוגמה_x000a_ 01.05.2000" sqref="G11 G13" xr:uid="{00000000-0002-0000-0100-000001000000}">
      <formula1>5</formula1>
      <formula2>9</formula2>
    </dataValidation>
  </dataValidations>
  <hyperlinks>
    <hyperlink ref="A6" location="'תוכן עניינים'!A1" display="תוכן עניינים" xr:uid="{00000000-0004-0000-0100-000000000000}"/>
  </hyperlinks>
  <pageMargins left="0.7" right="0.7" top="0.75" bottom="0.75" header="0.3" footer="0.3"/>
  <pageSetup paperSize="9" orientation="portrait" r:id="rId1"/>
  <ignoredErrors>
    <ignoredError sqref="G11 G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dimension ref="A1:H31"/>
  <sheetViews>
    <sheetView showGridLines="0" rightToLeft="1" zoomScaleNormal="100" workbookViewId="0"/>
  </sheetViews>
  <sheetFormatPr defaultColWidth="8" defaultRowHeight="15" x14ac:dyDescent="0.25"/>
  <cols>
    <col min="1" max="1" width="11.75" style="8" customWidth="1"/>
    <col min="2" max="2" width="7.25" style="8" customWidth="1"/>
    <col min="3" max="3" width="12.25" style="8" bestFit="1" customWidth="1"/>
    <col min="4" max="4" width="24.125" style="8" customWidth="1"/>
    <col min="5" max="5" width="3.75" style="8" customWidth="1"/>
    <col min="6" max="6" width="15.25" style="8" customWidth="1"/>
    <col min="7" max="16384" width="8" style="8"/>
  </cols>
  <sheetData>
    <row r="1" spans="1:8" s="1" customFormat="1" ht="26.25" x14ac:dyDescent="0.4">
      <c r="A1" s="11" t="s">
        <v>776</v>
      </c>
      <c r="B1" s="5"/>
      <c r="C1" s="12">
        <f>הנחיות!C1</f>
        <v>2024</v>
      </c>
      <c r="D1" s="5"/>
      <c r="E1" s="5"/>
      <c r="F1" s="5"/>
      <c r="G1" s="5"/>
      <c r="H1" s="28"/>
    </row>
    <row r="2" spans="1:8" s="1" customFormat="1" ht="21" x14ac:dyDescent="0.35">
      <c r="A2" s="13" t="s">
        <v>772</v>
      </c>
      <c r="B2" s="6"/>
      <c r="C2" s="15" t="s">
        <v>1</v>
      </c>
      <c r="D2" s="6"/>
      <c r="E2" s="6"/>
      <c r="F2" s="6"/>
      <c r="G2" s="6"/>
      <c r="H2" s="28"/>
    </row>
    <row r="3" spans="1:8" s="1" customFormat="1" ht="21" x14ac:dyDescent="0.25">
      <c r="A3" s="7"/>
      <c r="B3" s="6"/>
      <c r="C3" s="6"/>
      <c r="D3" s="6"/>
      <c r="E3" s="6"/>
      <c r="F3" s="6"/>
      <c r="G3" s="6"/>
      <c r="H3" s="28"/>
    </row>
    <row r="4" spans="1:8" ht="21.75" thickBot="1" x14ac:dyDescent="0.3">
      <c r="A4" s="53"/>
      <c r="B4" s="53"/>
      <c r="C4" s="53"/>
      <c r="D4" s="53"/>
      <c r="E4" s="53"/>
      <c r="F4" s="53"/>
    </row>
    <row r="5" spans="1:8" ht="21" x14ac:dyDescent="0.35">
      <c r="A5" s="541"/>
      <c r="B5" s="4"/>
      <c r="C5" s="722" t="s">
        <v>208</v>
      </c>
      <c r="D5" s="723"/>
      <c r="E5" s="724"/>
      <c r="F5" s="542"/>
    </row>
    <row r="6" spans="1:8" ht="21" x14ac:dyDescent="0.35">
      <c r="A6" s="541"/>
      <c r="B6" s="4"/>
      <c r="C6" s="543"/>
      <c r="D6" s="714" t="s">
        <v>0</v>
      </c>
      <c r="E6" s="54"/>
      <c r="F6" s="542"/>
    </row>
    <row r="7" spans="1:8" ht="21" x14ac:dyDescent="0.35">
      <c r="A7" s="541"/>
      <c r="B7" s="4"/>
      <c r="C7" s="543"/>
      <c r="D7" s="714" t="s">
        <v>62</v>
      </c>
      <c r="E7" s="54"/>
      <c r="F7" s="542"/>
    </row>
    <row r="8" spans="1:8" ht="21" x14ac:dyDescent="0.35">
      <c r="A8" s="541"/>
      <c r="B8" s="4"/>
      <c r="C8" s="543"/>
      <c r="D8" s="714" t="s">
        <v>63</v>
      </c>
      <c r="E8" s="54"/>
      <c r="F8" s="542"/>
    </row>
    <row r="9" spans="1:8" ht="9" customHeight="1" x14ac:dyDescent="0.35">
      <c r="A9" s="544"/>
      <c r="B9" s="4"/>
      <c r="C9" s="543"/>
      <c r="D9" s="55"/>
      <c r="E9" s="545"/>
      <c r="F9" s="542"/>
    </row>
    <row r="10" spans="1:8" ht="21" x14ac:dyDescent="0.35">
      <c r="A10" s="544"/>
      <c r="B10" s="4"/>
      <c r="C10" s="725" t="s">
        <v>777</v>
      </c>
      <c r="D10" s="726"/>
      <c r="E10" s="727"/>
      <c r="F10" s="542"/>
    </row>
    <row r="11" spans="1:8" ht="21" x14ac:dyDescent="0.35">
      <c r="A11" s="544"/>
      <c r="B11" s="4"/>
      <c r="C11" s="543"/>
      <c r="D11" s="714" t="s">
        <v>821</v>
      </c>
      <c r="E11" s="545"/>
      <c r="F11" s="542"/>
    </row>
    <row r="12" spans="1:8" ht="21" x14ac:dyDescent="0.35">
      <c r="A12" s="544"/>
      <c r="B12" s="4"/>
      <c r="C12" s="543"/>
      <c r="D12" s="714" t="s">
        <v>751</v>
      </c>
      <c r="E12" s="545"/>
      <c r="F12" s="542"/>
    </row>
    <row r="13" spans="1:8" ht="21" x14ac:dyDescent="0.35">
      <c r="A13" s="544"/>
      <c r="B13" s="4"/>
      <c r="C13" s="543"/>
      <c r="D13" s="714" t="s">
        <v>822</v>
      </c>
      <c r="E13" s="54"/>
      <c r="F13" s="542"/>
    </row>
    <row r="14" spans="1:8" ht="21" x14ac:dyDescent="0.35">
      <c r="A14" s="544"/>
      <c r="B14" s="4"/>
      <c r="C14" s="543"/>
      <c r="D14" s="714" t="s">
        <v>64</v>
      </c>
      <c r="E14" s="546"/>
      <c r="F14" s="542"/>
    </row>
    <row r="15" spans="1:8" ht="21" x14ac:dyDescent="0.35">
      <c r="A15" s="544"/>
      <c r="B15" s="4"/>
      <c r="C15" s="543"/>
      <c r="D15" s="714" t="s">
        <v>65</v>
      </c>
      <c r="E15" s="54"/>
      <c r="F15" s="542"/>
    </row>
    <row r="16" spans="1:8" ht="21" x14ac:dyDescent="0.35">
      <c r="A16" s="544"/>
      <c r="B16" s="4"/>
      <c r="C16" s="543"/>
      <c r="D16" s="714" t="s">
        <v>66</v>
      </c>
      <c r="E16" s="546"/>
      <c r="F16" s="542"/>
    </row>
    <row r="17" spans="1:6" ht="9" customHeight="1" x14ac:dyDescent="0.35">
      <c r="A17" s="544"/>
      <c r="B17" s="4"/>
      <c r="C17" s="543"/>
      <c r="D17" s="55"/>
      <c r="E17" s="545"/>
      <c r="F17" s="542"/>
    </row>
    <row r="18" spans="1:6" ht="21" x14ac:dyDescent="0.35">
      <c r="A18" s="544"/>
      <c r="B18" s="4"/>
      <c r="C18" s="725" t="s">
        <v>67</v>
      </c>
      <c r="D18" s="726"/>
      <c r="E18" s="727"/>
      <c r="F18" s="542"/>
    </row>
    <row r="19" spans="1:6" ht="21" x14ac:dyDescent="0.35">
      <c r="A19" s="544"/>
      <c r="B19" s="4"/>
      <c r="C19" s="543"/>
      <c r="D19" s="714" t="s">
        <v>68</v>
      </c>
      <c r="E19" s="54"/>
      <c r="F19" s="542"/>
    </row>
    <row r="20" spans="1:6" ht="21" x14ac:dyDescent="0.35">
      <c r="A20" s="544"/>
      <c r="B20" s="4"/>
      <c r="C20" s="543"/>
      <c r="D20" s="714" t="s">
        <v>69</v>
      </c>
      <c r="E20" s="54"/>
      <c r="F20" s="542"/>
    </row>
    <row r="21" spans="1:6" ht="21" x14ac:dyDescent="0.35">
      <c r="A21" s="544"/>
      <c r="B21" s="4"/>
      <c r="C21" s="543"/>
      <c r="D21" s="714" t="s">
        <v>823</v>
      </c>
      <c r="E21" s="54"/>
      <c r="F21" s="542"/>
    </row>
    <row r="22" spans="1:6" ht="21" x14ac:dyDescent="0.35">
      <c r="A22" s="544"/>
      <c r="B22" s="4"/>
      <c r="C22" s="543"/>
      <c r="D22" s="714" t="s">
        <v>824</v>
      </c>
      <c r="E22" s="54"/>
      <c r="F22" s="542"/>
    </row>
    <row r="23" spans="1:6" ht="21" x14ac:dyDescent="0.35">
      <c r="A23" s="544"/>
      <c r="B23" s="4"/>
      <c r="C23" s="543"/>
      <c r="D23" s="714" t="s">
        <v>70</v>
      </c>
      <c r="E23" s="54"/>
      <c r="F23" s="542"/>
    </row>
    <row r="24" spans="1:6" ht="21" x14ac:dyDescent="0.35">
      <c r="A24" s="544"/>
      <c r="B24" s="4"/>
      <c r="C24" s="543"/>
      <c r="D24" s="714" t="s">
        <v>825</v>
      </c>
      <c r="E24" s="54"/>
      <c r="F24" s="542"/>
    </row>
    <row r="25" spans="1:6" ht="9" customHeight="1" x14ac:dyDescent="0.35">
      <c r="A25" s="544"/>
      <c r="B25" s="4"/>
      <c r="C25" s="543"/>
      <c r="D25" s="55"/>
      <c r="E25" s="545"/>
      <c r="F25" s="542"/>
    </row>
    <row r="26" spans="1:6" ht="21" x14ac:dyDescent="0.35">
      <c r="A26" s="544"/>
      <c r="B26" s="4"/>
      <c r="C26" s="725" t="s">
        <v>395</v>
      </c>
      <c r="D26" s="726"/>
      <c r="E26" s="727"/>
      <c r="F26" s="542"/>
    </row>
    <row r="27" spans="1:6" ht="21" x14ac:dyDescent="0.35">
      <c r="A27" s="544"/>
      <c r="B27" s="4"/>
      <c r="C27" s="36"/>
      <c r="D27" s="714" t="s">
        <v>71</v>
      </c>
      <c r="E27" s="54"/>
      <c r="F27" s="542"/>
    </row>
    <row r="28" spans="1:6" ht="21" x14ac:dyDescent="0.35">
      <c r="A28" s="544"/>
      <c r="B28" s="4"/>
      <c r="C28" s="36"/>
      <c r="D28" s="714" t="s">
        <v>72</v>
      </c>
      <c r="E28" s="54"/>
      <c r="F28" s="542"/>
    </row>
    <row r="29" spans="1:6" ht="9" customHeight="1" thickBot="1" x14ac:dyDescent="0.4">
      <c r="A29" s="544"/>
      <c r="B29" s="4"/>
      <c r="C29" s="547"/>
      <c r="D29" s="548"/>
      <c r="E29" s="549"/>
      <c r="F29" s="542"/>
    </row>
    <row r="30" spans="1:6" ht="21" x14ac:dyDescent="0.35">
      <c r="A30" s="544"/>
      <c r="B30" s="4"/>
      <c r="C30" s="4"/>
      <c r="D30" s="542"/>
      <c r="E30" s="542"/>
      <c r="F30" s="542"/>
    </row>
    <row r="31" spans="1:6" ht="15.75" x14ac:dyDescent="0.25">
      <c r="A31" s="544"/>
      <c r="B31" s="4"/>
      <c r="C31" s="4"/>
      <c r="D31" s="4"/>
      <c r="E31" s="4"/>
      <c r="F31" s="4"/>
    </row>
  </sheetData>
  <sheetProtection algorithmName="SHA-512" hashValue="3D/gJuWEK8AGGbUMjf4G5B/UBW77th42wq+D/lHcegQKssY22foNnLy1l2muaxBbueWgBWOZc2BwKJfQjMUTXA==" saltValue="7Do8UP4OHt/z7sJVPYsnwA==" spinCount="100000" sheet="1" objects="1" scenarios="1"/>
  <mergeCells count="4">
    <mergeCell ref="C5:E5"/>
    <mergeCell ref="C10:E10"/>
    <mergeCell ref="C18:E18"/>
    <mergeCell ref="C26:E26"/>
  </mergeCells>
  <hyperlinks>
    <hyperlink ref="G5" location="'ספר לבן'!A1" tooltip="לא למילוי: דוח &quot;הספר הלבן&quot;" display="דוח נתונים כספיים מבוקרים" xr:uid="{00000000-0004-0000-0200-000000000000}"/>
    <hyperlink ref="G13" location="'נספח ו'!A1" tooltip="לא למילוי: נספח ו לדוח הביקורת המפורט, ע&quot;פ טופס 2" display="דוח ביקורת  מפורט -  נספח ו" xr:uid="{00000000-0004-0000-0200-000001000000}"/>
    <hyperlink ref="G14" location="'נספח ז'!A1" tooltip="לא למילוי: נספח ז לדוח הביקורת המפורט, ע&quot;פ טופס 2" display="דוח ביקורת  מפורט -  נספח ז" xr:uid="{00000000-0004-0000-0200-000002000000}"/>
    <hyperlink ref="G15" location="'דוח תמיכות'!A1" tooltip="גליון חופשי להקלדת דוח תמיכות והשתתפויות" display="דוח תמיכות והשתתפויות" xr:uid="{00000000-0004-0000-0200-000003000000}"/>
    <hyperlink ref="D6" location="הנחיות!A1" display="הנחיות" xr:uid="{00000000-0004-0000-0200-000004000000}"/>
    <hyperlink ref="D7" location="'פרטי התאגיד'!A1" display="פרטים על התאגיד" xr:uid="{00000000-0004-0000-0200-000005000000}"/>
    <hyperlink ref="D8" location="'חוו&quot;ד רו&quot;ח'!A1" display="חוות דעת רואה החשבון" xr:uid="{00000000-0004-0000-0200-000006000000}"/>
    <hyperlink ref="D11" location="מאזן!A1" display="מאזנים" xr:uid="{00000000-0004-0000-0200-000007000000}"/>
    <hyperlink ref="D13" location="'הון עצמי'!A1" display="דוח על השינויים בהון" xr:uid="{00000000-0004-0000-0200-000008000000}"/>
    <hyperlink ref="D14" location="תזרים!A1" display="תזרים מזומנים" xr:uid="{00000000-0004-0000-0200-000009000000}"/>
    <hyperlink ref="D15" location="'נספח א'!A1" display="נספח א לתזרים מזומנים" xr:uid="{00000000-0004-0000-0200-00000A000000}"/>
    <hyperlink ref="D16" location="'נספח ב'!A1" display="נספח ב לתזרים מזומנים" xr:uid="{00000000-0004-0000-0200-00000B000000}"/>
    <hyperlink ref="D19" location="'ביאורים 1-9'!A1" display="ביאורים 1-9" xr:uid="{00000000-0004-0000-0200-00000C000000}"/>
    <hyperlink ref="D20" location="'ביאורים 10-11'!A1" display="ביאורים 10-11" xr:uid="{00000000-0004-0000-0200-00000D000000}"/>
    <hyperlink ref="D21" location="'ביאור 10 פירוט'!A1" display="ביאור 10 פירוט" xr:uid="{00000000-0004-0000-0200-00000E000000}"/>
    <hyperlink ref="D22" location="'ביאור 11 פירוט'!A1" display="ביאור 11 פירוט" xr:uid="{00000000-0004-0000-0200-00000F000000}"/>
    <hyperlink ref="D23" location="'ביאורים 12-29'!A1" display="ביאורים 12-29" xr:uid="{00000000-0004-0000-0200-000010000000}"/>
    <hyperlink ref="D24" location="'ביאורים 30-32'!A1" display="ביאורים 31-33" xr:uid="{00000000-0004-0000-0200-000011000000}"/>
    <hyperlink ref="D27" location="'תמצית דוח דירקטוריון'!A1" display="תמצית דוח דירקטוריון" xr:uid="{00000000-0004-0000-0200-000012000000}"/>
    <hyperlink ref="D28" location="'דוח הצלבות'!A1" display="דוח הצלבות" xr:uid="{00000000-0004-0000-0200-000013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4">
    <pageSetUpPr fitToPage="1"/>
  </sheetPr>
  <dimension ref="A1:R81"/>
  <sheetViews>
    <sheetView showGridLines="0" rightToLeft="1" topLeftCell="A10" zoomScale="85" zoomScaleNormal="85" workbookViewId="0">
      <selection activeCell="F14" sqref="F14"/>
    </sheetView>
  </sheetViews>
  <sheetFormatPr defaultColWidth="8" defaultRowHeight="15.75" x14ac:dyDescent="0.25"/>
  <cols>
    <col min="1" max="1" width="5.75" style="56" customWidth="1"/>
    <col min="2" max="2" width="20.5" style="56" customWidth="1"/>
    <col min="3" max="3" width="16" style="56" customWidth="1"/>
    <col min="4" max="4" width="6.125" style="82" customWidth="1"/>
    <col min="5" max="5" width="11.75" style="56" customWidth="1"/>
    <col min="6" max="6" width="12.25" style="56" customWidth="1"/>
    <col min="7" max="7" width="1.75" style="56" customWidth="1"/>
    <col min="8" max="8" width="13.25" style="56" customWidth="1"/>
    <col min="9" max="9" width="3.75" style="56" customWidth="1"/>
    <col min="10" max="10" width="10" style="56" bestFit="1" customWidth="1"/>
    <col min="11" max="15" width="8" style="56"/>
    <col min="16" max="16" width="12.75" style="56" customWidth="1"/>
    <col min="17" max="16384" width="8" style="56"/>
  </cols>
  <sheetData>
    <row r="1" spans="1:18" s="71" customFormat="1" ht="24.75" customHeight="1" x14ac:dyDescent="0.5">
      <c r="A1" s="11" t="s">
        <v>776</v>
      </c>
      <c r="B1" s="5"/>
      <c r="C1" s="12">
        <f>הנחיות!C1</f>
        <v>2024</v>
      </c>
      <c r="D1" s="5"/>
      <c r="E1" s="5"/>
      <c r="F1" s="5"/>
      <c r="G1" s="5"/>
      <c r="H1" s="70"/>
      <c r="I1" s="73"/>
      <c r="N1" s="269"/>
      <c r="O1" s="8"/>
      <c r="P1" s="8"/>
      <c r="Q1" s="8"/>
      <c r="R1" s="8"/>
    </row>
    <row r="2" spans="1:18" s="71" customFormat="1" ht="26.25" customHeight="1" x14ac:dyDescent="0.5">
      <c r="A2" s="13" t="s">
        <v>772</v>
      </c>
      <c r="B2" s="6"/>
      <c r="C2" s="15" t="s">
        <v>779</v>
      </c>
      <c r="D2" s="6"/>
      <c r="E2" s="6"/>
      <c r="F2" s="6"/>
      <c r="G2" s="6"/>
      <c r="H2" s="72"/>
      <c r="I2" s="73"/>
      <c r="N2" s="23"/>
      <c r="O2" s="8"/>
      <c r="P2" s="8"/>
      <c r="Q2" s="8"/>
      <c r="R2" s="8"/>
    </row>
    <row r="3" spans="1:18" s="71" customFormat="1" ht="17.100000000000001" customHeight="1" x14ac:dyDescent="0.5">
      <c r="A3" s="7"/>
      <c r="B3" s="6"/>
      <c r="C3" s="6"/>
      <c r="D3" s="6"/>
      <c r="E3" s="6"/>
      <c r="F3" s="6"/>
      <c r="G3" s="6"/>
      <c r="H3" s="72"/>
      <c r="I3" s="73"/>
      <c r="N3" s="23"/>
      <c r="O3" s="8"/>
      <c r="P3" s="8"/>
      <c r="Q3" s="8"/>
      <c r="R3" s="8"/>
    </row>
    <row r="4" spans="1:18" s="71" customFormat="1" ht="17.100000000000001" customHeight="1" x14ac:dyDescent="0.5">
      <c r="A4" s="58" t="s">
        <v>773</v>
      </c>
      <c r="B4" s="59"/>
      <c r="C4" s="65" t="str">
        <f>IF('פרטי התאגיד'!$G$9=0, "", 'פרטי התאגיד'!$G$9)</f>
        <v>פלגי מוצקין בע"מ</v>
      </c>
      <c r="D4" s="60"/>
      <c r="E4" s="60"/>
      <c r="F4" s="60"/>
      <c r="G4" s="60"/>
      <c r="H4" s="132"/>
      <c r="I4" s="133"/>
      <c r="N4" s="23"/>
      <c r="O4" s="8"/>
      <c r="P4" s="8"/>
      <c r="Q4" s="8"/>
      <c r="R4" s="8"/>
    </row>
    <row r="5" spans="1:18" s="71" customFormat="1" ht="17.100000000000001" customHeight="1" x14ac:dyDescent="0.5">
      <c r="A5" s="74"/>
      <c r="B5" s="75"/>
      <c r="C5" s="75"/>
      <c r="E5" s="75"/>
      <c r="F5" s="75"/>
      <c r="G5" s="75"/>
      <c r="H5" s="75"/>
      <c r="N5" s="23"/>
      <c r="O5" s="8"/>
      <c r="P5" s="8"/>
      <c r="Q5" s="8"/>
      <c r="R5" s="8"/>
    </row>
    <row r="6" spans="1:18" ht="18" customHeight="1" thickBot="1" x14ac:dyDescent="0.35">
      <c r="A6" s="30" t="s">
        <v>1</v>
      </c>
      <c r="B6" s="96"/>
      <c r="C6" s="96"/>
      <c r="D6" s="96"/>
      <c r="E6" s="96"/>
      <c r="F6" s="96"/>
      <c r="G6" s="96"/>
      <c r="H6" s="96"/>
      <c r="N6" s="270"/>
      <c r="O6" s="4"/>
      <c r="P6" s="4"/>
      <c r="Q6" s="4"/>
      <c r="R6" s="4"/>
    </row>
    <row r="7" spans="1:18" ht="9" customHeight="1" x14ac:dyDescent="0.25">
      <c r="A7" s="76"/>
      <c r="B7" s="105"/>
      <c r="C7" s="106"/>
      <c r="D7" s="107"/>
      <c r="E7" s="106"/>
      <c r="F7" s="106"/>
      <c r="G7" s="106"/>
      <c r="H7" s="106"/>
      <c r="I7" s="108"/>
      <c r="N7" s="270"/>
      <c r="O7" s="4"/>
      <c r="P7" s="4"/>
      <c r="Q7" s="4"/>
      <c r="R7" s="4"/>
    </row>
    <row r="8" spans="1:18" ht="21" x14ac:dyDescent="0.35">
      <c r="B8" s="109" t="s">
        <v>74</v>
      </c>
      <c r="C8" s="79"/>
      <c r="D8" s="78" t="s">
        <v>75</v>
      </c>
      <c r="E8" s="94"/>
      <c r="F8" s="99" t="str">
        <f>"31/12/"&amp;RIGHT('פרטי התאגיד'!G11,4)</f>
        <v>31/12/2024</v>
      </c>
      <c r="G8" s="3"/>
      <c r="H8" s="99" t="str">
        <f>"31/12/"&amp;RIGHT('פרטי התאגיד'!G13,4)</f>
        <v>31/12/2023</v>
      </c>
      <c r="I8" s="110"/>
      <c r="N8" s="4"/>
      <c r="O8" s="4"/>
      <c r="P8" s="4"/>
      <c r="Q8" s="4"/>
      <c r="R8" s="4"/>
    </row>
    <row r="9" spans="1:18" x14ac:dyDescent="0.25">
      <c r="B9" s="111"/>
      <c r="C9" s="79"/>
      <c r="D9" s="78"/>
      <c r="E9" s="96"/>
      <c r="F9" s="97"/>
      <c r="G9" s="97"/>
      <c r="H9" s="97"/>
      <c r="I9" s="61"/>
    </row>
    <row r="10" spans="1:18" ht="18.75" x14ac:dyDescent="0.3">
      <c r="B10" s="112" t="s">
        <v>76</v>
      </c>
      <c r="C10" s="113"/>
      <c r="D10" s="114"/>
      <c r="E10" s="115"/>
      <c r="F10" s="96"/>
      <c r="G10" s="96"/>
      <c r="H10" s="96"/>
      <c r="I10" s="61"/>
    </row>
    <row r="11" spans="1:18" x14ac:dyDescent="0.25">
      <c r="B11" s="116" t="s">
        <v>77</v>
      </c>
      <c r="C11" s="113"/>
      <c r="D11" s="98">
        <v>3</v>
      </c>
      <c r="E11" s="98"/>
      <c r="F11" s="81">
        <f>'ביאורים 1-9'!H196</f>
        <v>6928</v>
      </c>
      <c r="G11" s="82"/>
      <c r="H11" s="81">
        <f>'ביאורים 1-9'!J196</f>
        <v>11982</v>
      </c>
      <c r="I11" s="61"/>
    </row>
    <row r="12" spans="1:18" x14ac:dyDescent="0.25">
      <c r="B12" s="116" t="s">
        <v>78</v>
      </c>
      <c r="C12" s="113"/>
      <c r="D12" s="98">
        <v>4</v>
      </c>
      <c r="E12" s="98"/>
      <c r="F12" s="81">
        <f>'ביאורים 1-9'!H209</f>
        <v>70465</v>
      </c>
      <c r="G12" s="82"/>
      <c r="H12" s="81">
        <f>'ביאורים 1-9'!J209</f>
        <v>72483</v>
      </c>
      <c r="I12" s="61"/>
    </row>
    <row r="13" spans="1:18" x14ac:dyDescent="0.25">
      <c r="B13" s="116" t="s">
        <v>79</v>
      </c>
      <c r="C13" s="113"/>
      <c r="D13" s="98"/>
      <c r="E13" s="98"/>
      <c r="F13" s="129">
        <v>2984</v>
      </c>
      <c r="G13" s="117"/>
      <c r="H13" s="129">
        <v>1199</v>
      </c>
      <c r="I13" s="61"/>
    </row>
    <row r="14" spans="1:18" x14ac:dyDescent="0.25">
      <c r="B14" s="116" t="s">
        <v>80</v>
      </c>
      <c r="C14" s="113"/>
      <c r="D14" s="98">
        <v>5</v>
      </c>
      <c r="E14" s="98"/>
      <c r="F14" s="81">
        <f>'ביאורים 1-9'!H226</f>
        <v>28130</v>
      </c>
      <c r="G14" s="82"/>
      <c r="H14" s="81">
        <f>'ביאורים 1-9'!J226</f>
        <v>29360</v>
      </c>
      <c r="I14" s="61"/>
    </row>
    <row r="15" spans="1:18" x14ac:dyDescent="0.25">
      <c r="B15" s="116" t="s">
        <v>81</v>
      </c>
      <c r="C15" s="113"/>
      <c r="D15" s="98">
        <v>6</v>
      </c>
      <c r="E15" s="98"/>
      <c r="F15" s="81">
        <f>'ביאורים 1-9'!H253</f>
        <v>393</v>
      </c>
      <c r="G15" s="82"/>
      <c r="H15" s="81">
        <f>'ביאורים 1-9'!J253</f>
        <v>373</v>
      </c>
      <c r="I15" s="61"/>
    </row>
    <row r="16" spans="1:18" x14ac:dyDescent="0.25">
      <c r="B16" s="116" t="s">
        <v>82</v>
      </c>
      <c r="C16" s="113"/>
      <c r="D16" s="98">
        <v>7</v>
      </c>
      <c r="E16" s="98"/>
      <c r="F16" s="81">
        <f>'ביאורים 1-9'!H263</f>
        <v>0</v>
      </c>
      <c r="G16" s="82"/>
      <c r="H16" s="81">
        <f>'ביאורים 1-9'!J263</f>
        <v>0</v>
      </c>
      <c r="I16" s="61"/>
    </row>
    <row r="17" spans="2:9" x14ac:dyDescent="0.25">
      <c r="B17" s="118" t="s">
        <v>83</v>
      </c>
      <c r="C17" s="113"/>
      <c r="D17" s="98"/>
      <c r="E17" s="98"/>
      <c r="F17" s="101">
        <f>SUM(F11:F16)</f>
        <v>108900</v>
      </c>
      <c r="G17" s="82"/>
      <c r="H17" s="101">
        <f>SUM(H11:H16)</f>
        <v>115397</v>
      </c>
      <c r="I17" s="61"/>
    </row>
    <row r="18" spans="2:9" x14ac:dyDescent="0.25">
      <c r="B18" s="116"/>
      <c r="C18" s="113"/>
      <c r="D18" s="98"/>
      <c r="E18" s="98"/>
      <c r="F18" s="83"/>
      <c r="G18" s="84"/>
      <c r="H18" s="85"/>
      <c r="I18" s="61"/>
    </row>
    <row r="19" spans="2:9" x14ac:dyDescent="0.25">
      <c r="B19" s="116"/>
      <c r="C19" s="113"/>
      <c r="D19" s="98"/>
      <c r="E19" s="98"/>
      <c r="F19" s="86"/>
      <c r="G19" s="79"/>
      <c r="H19" s="86"/>
      <c r="I19" s="61"/>
    </row>
    <row r="20" spans="2:9" ht="18.75" x14ac:dyDescent="0.3">
      <c r="B20" s="112" t="s">
        <v>84</v>
      </c>
      <c r="C20" s="113"/>
      <c r="D20" s="98">
        <v>8</v>
      </c>
      <c r="E20" s="98"/>
      <c r="F20" s="100">
        <f>'ביאורים 1-9'!H273</f>
        <v>0</v>
      </c>
      <c r="G20" s="78"/>
      <c r="H20" s="100">
        <f>'ביאורים 1-9'!J273</f>
        <v>0</v>
      </c>
      <c r="I20" s="61"/>
    </row>
    <row r="21" spans="2:9" x14ac:dyDescent="0.25">
      <c r="B21" s="116"/>
      <c r="C21" s="113"/>
      <c r="D21" s="98"/>
      <c r="E21" s="98"/>
      <c r="F21" s="83"/>
      <c r="G21" s="84"/>
      <c r="H21" s="83"/>
      <c r="I21" s="61"/>
    </row>
    <row r="22" spans="2:9" ht="18.75" x14ac:dyDescent="0.3">
      <c r="B22" s="112" t="s">
        <v>85</v>
      </c>
      <c r="C22" s="113"/>
      <c r="D22" s="98">
        <v>9</v>
      </c>
      <c r="E22" s="98"/>
      <c r="F22" s="100">
        <f>'ביאורים 1-9'!H282</f>
        <v>0</v>
      </c>
      <c r="G22" s="78"/>
      <c r="H22" s="100">
        <f>'ביאורים 1-9'!J282</f>
        <v>0</v>
      </c>
      <c r="I22" s="61"/>
    </row>
    <row r="23" spans="2:9" x14ac:dyDescent="0.25">
      <c r="B23" s="116"/>
      <c r="C23" s="113"/>
      <c r="D23" s="98"/>
      <c r="E23" s="98"/>
      <c r="F23" s="86"/>
      <c r="G23" s="79"/>
      <c r="H23" s="86"/>
      <c r="I23" s="61"/>
    </row>
    <row r="24" spans="2:9" ht="18.75" x14ac:dyDescent="0.3">
      <c r="B24" s="112" t="s">
        <v>86</v>
      </c>
      <c r="C24" s="113"/>
      <c r="D24" s="98">
        <v>10</v>
      </c>
      <c r="E24" s="98" t="s">
        <v>87</v>
      </c>
      <c r="F24" s="100">
        <f>'ביאורים 10-11'!O45</f>
        <v>239164</v>
      </c>
      <c r="G24" s="78"/>
      <c r="H24" s="100">
        <f>'ביאורים 10-11'!O44</f>
        <v>227943</v>
      </c>
      <c r="I24" s="61"/>
    </row>
    <row r="25" spans="2:9" ht="18.75" x14ac:dyDescent="0.3">
      <c r="B25" s="112"/>
      <c r="C25" s="113"/>
      <c r="D25" s="98"/>
      <c r="E25" s="98"/>
      <c r="F25" s="87"/>
      <c r="G25" s="82"/>
      <c r="H25" s="87"/>
      <c r="I25" s="61"/>
    </row>
    <row r="26" spans="2:9" ht="18.75" x14ac:dyDescent="0.3">
      <c r="B26" s="112" t="s">
        <v>88</v>
      </c>
      <c r="C26" s="113"/>
      <c r="D26" s="98">
        <v>11</v>
      </c>
      <c r="E26" s="98" t="s">
        <v>89</v>
      </c>
      <c r="F26" s="100">
        <f>'ביאורים 10-11'!L101</f>
        <v>730</v>
      </c>
      <c r="G26" s="119"/>
      <c r="H26" s="100">
        <f>'ביאורים 10-11'!L95</f>
        <v>683</v>
      </c>
      <c r="I26" s="61"/>
    </row>
    <row r="27" spans="2:9" x14ac:dyDescent="0.25">
      <c r="B27" s="116"/>
      <c r="C27" s="113"/>
      <c r="D27" s="98"/>
      <c r="E27" s="98"/>
      <c r="F27" s="83"/>
      <c r="G27" s="84"/>
      <c r="H27" s="83"/>
      <c r="I27" s="61"/>
    </row>
    <row r="28" spans="2:9" ht="18.75" x14ac:dyDescent="0.3">
      <c r="B28" s="112" t="s">
        <v>90</v>
      </c>
      <c r="C28" s="113"/>
      <c r="D28" s="98"/>
      <c r="E28" s="98"/>
      <c r="F28" s="83"/>
      <c r="G28" s="84"/>
      <c r="H28" s="83"/>
      <c r="I28" s="61"/>
    </row>
    <row r="29" spans="2:9" x14ac:dyDescent="0.25">
      <c r="B29" s="116" t="s">
        <v>91</v>
      </c>
      <c r="C29" s="113"/>
      <c r="D29" s="98">
        <v>12</v>
      </c>
      <c r="E29" s="98"/>
      <c r="F29" s="81">
        <f>'ביאורים 12-29'!H16</f>
        <v>5526</v>
      </c>
      <c r="G29" s="82"/>
      <c r="H29" s="81">
        <f>'ביאורים 12-29'!J16</f>
        <v>6622</v>
      </c>
      <c r="I29" s="61"/>
    </row>
    <row r="30" spans="2:9" x14ac:dyDescent="0.25">
      <c r="B30" s="116" t="s">
        <v>92</v>
      </c>
      <c r="C30" s="113"/>
      <c r="D30" s="98">
        <v>27</v>
      </c>
      <c r="E30" s="98"/>
      <c r="F30" s="81">
        <f>IF('ביאורים 12-29'!$H$573&gt;0,'ביאורים 12-29'!$H$573,0)</f>
        <v>0</v>
      </c>
      <c r="G30" s="82"/>
      <c r="H30" s="81">
        <f>IF('ביאורים 12-29'!$J$573&gt;0,'ביאורים 12-29'!$J$573,0)</f>
        <v>0</v>
      </c>
      <c r="I30" s="61"/>
    </row>
    <row r="31" spans="2:9" x14ac:dyDescent="0.25">
      <c r="B31" s="116" t="s">
        <v>93</v>
      </c>
      <c r="C31" s="113"/>
      <c r="D31" s="80"/>
      <c r="E31" s="80"/>
      <c r="F31" s="129"/>
      <c r="G31" s="82"/>
      <c r="H31" s="129"/>
      <c r="I31" s="61"/>
    </row>
    <row r="32" spans="2:9" x14ac:dyDescent="0.25">
      <c r="B32" s="118" t="s">
        <v>780</v>
      </c>
      <c r="D32" s="120"/>
      <c r="E32" s="120"/>
      <c r="F32" s="101">
        <f>SUM(F29:F31)</f>
        <v>5526</v>
      </c>
      <c r="G32" s="78"/>
      <c r="H32" s="101">
        <f>SUM(H29:H31)</f>
        <v>6622</v>
      </c>
      <c r="I32" s="61"/>
    </row>
    <row r="33" spans="2:9" x14ac:dyDescent="0.25">
      <c r="B33" s="116"/>
      <c r="D33" s="120"/>
      <c r="F33" s="88"/>
      <c r="G33" s="84"/>
      <c r="H33" s="88"/>
      <c r="I33" s="61"/>
    </row>
    <row r="34" spans="2:9" ht="19.5" thickBot="1" x14ac:dyDescent="0.35">
      <c r="B34" s="112" t="s">
        <v>94</v>
      </c>
      <c r="C34" s="79"/>
      <c r="E34" s="79"/>
      <c r="F34" s="102">
        <f>F17+F20+F24+F26+F32+F22</f>
        <v>354320</v>
      </c>
      <c r="G34" s="78"/>
      <c r="H34" s="102">
        <f>H17+H20+H24+H26+H32+H22</f>
        <v>350645</v>
      </c>
      <c r="I34" s="61"/>
    </row>
    <row r="35" spans="2:9" ht="16.5" thickTop="1" x14ac:dyDescent="0.25">
      <c r="B35" s="116"/>
      <c r="C35" s="79"/>
      <c r="E35" s="79"/>
      <c r="F35" s="83"/>
      <c r="G35" s="84"/>
      <c r="H35" s="83"/>
      <c r="I35" s="61"/>
    </row>
    <row r="36" spans="2:9" x14ac:dyDescent="0.25">
      <c r="B36" s="116"/>
      <c r="C36" s="82"/>
      <c r="E36" s="79"/>
      <c r="F36" s="83"/>
      <c r="G36" s="84"/>
      <c r="H36" s="83"/>
      <c r="I36" s="61"/>
    </row>
    <row r="37" spans="2:9" ht="21" x14ac:dyDescent="0.35">
      <c r="B37" s="109" t="s">
        <v>95</v>
      </c>
      <c r="C37" s="79"/>
      <c r="D37" s="78" t="s">
        <v>75</v>
      </c>
      <c r="E37" s="94"/>
      <c r="F37" s="99" t="str">
        <f>"31/12/"&amp;RIGHT('פרטי התאגיד'!G11,4)</f>
        <v>31/12/2024</v>
      </c>
      <c r="G37" s="3"/>
      <c r="H37" s="99" t="str">
        <f>"31/12/"&amp;RIGHT('פרטי התאגיד'!G13,4)</f>
        <v>31/12/2023</v>
      </c>
      <c r="I37" s="61"/>
    </row>
    <row r="38" spans="2:9" x14ac:dyDescent="0.25">
      <c r="B38" s="116"/>
      <c r="C38" s="79"/>
      <c r="E38" s="79"/>
      <c r="F38" s="83"/>
      <c r="G38" s="84"/>
      <c r="H38" s="83"/>
      <c r="I38" s="61"/>
    </row>
    <row r="39" spans="2:9" ht="18.75" x14ac:dyDescent="0.3">
      <c r="B39" s="112" t="s">
        <v>96</v>
      </c>
      <c r="C39" s="79"/>
      <c r="E39" s="79"/>
      <c r="F39" s="86"/>
      <c r="G39" s="79"/>
      <c r="H39" s="86"/>
      <c r="I39" s="61"/>
    </row>
    <row r="40" spans="2:9" ht="18.75" x14ac:dyDescent="0.3">
      <c r="B40" s="112"/>
      <c r="C40" s="79"/>
      <c r="D40" s="98"/>
      <c r="E40" s="79"/>
      <c r="F40" s="86"/>
      <c r="G40" s="79"/>
      <c r="H40" s="86"/>
      <c r="I40" s="61"/>
    </row>
    <row r="41" spans="2:9" x14ac:dyDescent="0.25">
      <c r="B41" s="116" t="s">
        <v>79</v>
      </c>
      <c r="C41" s="79"/>
      <c r="D41" s="98"/>
      <c r="E41" s="79"/>
      <c r="F41" s="129"/>
      <c r="G41" s="82"/>
      <c r="H41" s="129"/>
      <c r="I41" s="61"/>
    </row>
    <row r="42" spans="2:9" x14ac:dyDescent="0.25">
      <c r="B42" s="116" t="s">
        <v>97</v>
      </c>
      <c r="C42" s="79"/>
      <c r="D42" s="98">
        <v>13</v>
      </c>
      <c r="E42" s="82"/>
      <c r="F42" s="89">
        <f>'ביאורים 12-29'!H28</f>
        <v>9954</v>
      </c>
      <c r="G42" s="82"/>
      <c r="H42" s="89">
        <f>'ביאורים 12-29'!J28</f>
        <v>2557</v>
      </c>
      <c r="I42" s="61"/>
    </row>
    <row r="43" spans="2:9" x14ac:dyDescent="0.25">
      <c r="B43" s="116" t="s">
        <v>98</v>
      </c>
      <c r="C43" s="79"/>
      <c r="D43" s="98">
        <v>19</v>
      </c>
      <c r="E43" s="82"/>
      <c r="F43" s="89">
        <f>-'ביאורים 12-29'!H278</f>
        <v>0</v>
      </c>
      <c r="G43" s="82"/>
      <c r="H43" s="89">
        <f>-'ביאורים 12-29'!J278</f>
        <v>0</v>
      </c>
      <c r="I43" s="61"/>
    </row>
    <row r="44" spans="2:9" x14ac:dyDescent="0.25">
      <c r="B44" s="116" t="s">
        <v>99</v>
      </c>
      <c r="C44" s="79"/>
      <c r="D44" s="98">
        <v>14</v>
      </c>
      <c r="E44" s="82"/>
      <c r="F44" s="89">
        <f>'ביאורים 12-29'!H41</f>
        <v>28568</v>
      </c>
      <c r="G44" s="82"/>
      <c r="H44" s="89">
        <f>'ביאורים 12-29'!J41</f>
        <v>33942</v>
      </c>
      <c r="I44" s="61"/>
    </row>
    <row r="45" spans="2:9" x14ac:dyDescent="0.25">
      <c r="B45" s="116" t="s">
        <v>100</v>
      </c>
      <c r="C45" s="79"/>
      <c r="D45" s="98">
        <v>15</v>
      </c>
      <c r="E45" s="82"/>
      <c r="F45" s="89">
        <f>'ביאורים 12-29'!H62</f>
        <v>722</v>
      </c>
      <c r="G45" s="82"/>
      <c r="H45" s="89">
        <f>'ביאורים 12-29'!J62</f>
        <v>590</v>
      </c>
      <c r="I45" s="61"/>
    </row>
    <row r="46" spans="2:9" x14ac:dyDescent="0.25">
      <c r="B46" s="116" t="s">
        <v>101</v>
      </c>
      <c r="C46" s="79"/>
      <c r="D46" s="98">
        <v>16</v>
      </c>
      <c r="E46" s="82"/>
      <c r="F46" s="81">
        <f>'ביאורים 12-29'!H74</f>
        <v>1936</v>
      </c>
      <c r="G46" s="82"/>
      <c r="H46" s="81">
        <f>'ביאורים 12-29'!J74</f>
        <v>5883</v>
      </c>
      <c r="I46" s="61"/>
    </row>
    <row r="47" spans="2:9" x14ac:dyDescent="0.25">
      <c r="B47" s="118" t="s">
        <v>781</v>
      </c>
      <c r="C47" s="79"/>
      <c r="D47" s="98"/>
      <c r="E47" s="79"/>
      <c r="F47" s="101">
        <f>SUM(F41:F46)</f>
        <v>41180</v>
      </c>
      <c r="G47" s="82"/>
      <c r="H47" s="101">
        <f>SUM(H41:H46)</f>
        <v>42972</v>
      </c>
      <c r="I47" s="61"/>
    </row>
    <row r="48" spans="2:9" x14ac:dyDescent="0.25">
      <c r="B48" s="121"/>
      <c r="C48" s="79"/>
      <c r="D48" s="98"/>
      <c r="E48" s="79"/>
      <c r="F48" s="87"/>
      <c r="G48" s="84"/>
      <c r="H48" s="83"/>
      <c r="I48" s="61"/>
    </row>
    <row r="49" spans="2:9" ht="18.75" x14ac:dyDescent="0.3">
      <c r="B49" s="112" t="s">
        <v>102</v>
      </c>
      <c r="C49" s="79"/>
      <c r="D49" s="98"/>
      <c r="E49" s="79"/>
      <c r="F49" s="86"/>
      <c r="G49" s="79"/>
      <c r="H49" s="86"/>
      <c r="I49" s="61"/>
    </row>
    <row r="50" spans="2:9" x14ac:dyDescent="0.25">
      <c r="B50" s="116"/>
      <c r="C50" s="79"/>
      <c r="D50" s="98"/>
      <c r="E50" s="98"/>
      <c r="F50" s="86"/>
      <c r="G50" s="79"/>
      <c r="H50" s="86"/>
      <c r="I50" s="61"/>
    </row>
    <row r="51" spans="2:9" x14ac:dyDescent="0.25">
      <c r="B51" s="116" t="s">
        <v>103</v>
      </c>
      <c r="C51" s="79"/>
      <c r="D51" s="98" t="s">
        <v>104</v>
      </c>
      <c r="F51" s="89">
        <f>'ביאורים 12-29'!H86</f>
        <v>0</v>
      </c>
      <c r="G51" s="82"/>
      <c r="H51" s="89">
        <f>'ביאורים 12-29'!J86</f>
        <v>0</v>
      </c>
      <c r="I51" s="61"/>
    </row>
    <row r="52" spans="2:9" x14ac:dyDescent="0.25">
      <c r="B52" s="116" t="s">
        <v>105</v>
      </c>
      <c r="C52" s="79"/>
      <c r="D52" s="98" t="s">
        <v>106</v>
      </c>
      <c r="E52" s="98"/>
      <c r="F52" s="89">
        <f>'ביאורים 12-29'!H142</f>
        <v>0</v>
      </c>
      <c r="G52" s="82"/>
      <c r="H52" s="89">
        <f>'ביאורים 12-29'!J142</f>
        <v>0</v>
      </c>
      <c r="I52" s="61"/>
    </row>
    <row r="53" spans="2:9" x14ac:dyDescent="0.25">
      <c r="B53" s="116" t="s">
        <v>107</v>
      </c>
      <c r="C53" s="79"/>
      <c r="D53" s="98" t="s">
        <v>108</v>
      </c>
      <c r="E53" s="98"/>
      <c r="F53" s="89">
        <f>+'ביאורים 12-29'!H189</f>
        <v>8670</v>
      </c>
      <c r="G53" s="82"/>
      <c r="H53" s="89">
        <f>+'ביאורים 12-29'!J189</f>
        <v>22132</v>
      </c>
      <c r="I53" s="61"/>
    </row>
    <row r="54" spans="2:9" x14ac:dyDescent="0.25">
      <c r="B54" s="116" t="s">
        <v>109</v>
      </c>
      <c r="C54" s="79"/>
      <c r="D54" s="98">
        <v>18</v>
      </c>
      <c r="E54" s="82"/>
      <c r="F54" s="89">
        <f>+'ביאורים 12-29'!H267</f>
        <v>195004</v>
      </c>
      <c r="G54" s="82"/>
      <c r="H54" s="89">
        <f>'ביאורים 12-29'!J267</f>
        <v>175676</v>
      </c>
      <c r="I54" s="61"/>
    </row>
    <row r="55" spans="2:9" x14ac:dyDescent="0.25">
      <c r="B55" s="116" t="s">
        <v>110</v>
      </c>
      <c r="C55" s="79"/>
      <c r="D55" s="98">
        <v>19</v>
      </c>
      <c r="E55" s="82"/>
      <c r="F55" s="89">
        <f>'ביאורים 12-29'!H279</f>
        <v>0</v>
      </c>
      <c r="G55" s="82"/>
      <c r="H55" s="89">
        <f>'ביאורים 12-29'!J279</f>
        <v>0</v>
      </c>
      <c r="I55" s="61"/>
    </row>
    <row r="56" spans="2:9" x14ac:dyDescent="0.25">
      <c r="B56" s="116" t="s">
        <v>111</v>
      </c>
      <c r="C56" s="79"/>
      <c r="D56" s="98">
        <v>20</v>
      </c>
      <c r="E56" s="82"/>
      <c r="F56" s="89">
        <f>'ביאורים 12-29'!H309</f>
        <v>0</v>
      </c>
      <c r="G56" s="82"/>
      <c r="H56" s="89">
        <f>'ביאורים 12-29'!J309</f>
        <v>0</v>
      </c>
      <c r="I56" s="61"/>
    </row>
    <row r="57" spans="2:9" x14ac:dyDescent="0.25">
      <c r="B57" s="116" t="s">
        <v>112</v>
      </c>
      <c r="C57" s="79"/>
      <c r="D57" s="98">
        <v>27</v>
      </c>
      <c r="E57" s="82"/>
      <c r="F57" s="89">
        <f>IF('ביאורים 12-29'!$H$573&lt;0,-'ביאורים 12-29'!$H$573,0)</f>
        <v>285</v>
      </c>
      <c r="G57" s="90"/>
      <c r="H57" s="89">
        <f>IF('ביאורים 12-29'!$J$573&lt;0,-'ביאורים 12-29'!$J$573,0)</f>
        <v>680</v>
      </c>
      <c r="I57" s="61"/>
    </row>
    <row r="58" spans="2:9" x14ac:dyDescent="0.25">
      <c r="B58" s="122" t="s">
        <v>841</v>
      </c>
      <c r="C58" s="79"/>
      <c r="D58" s="98"/>
      <c r="E58" s="82"/>
      <c r="F58" s="130"/>
      <c r="G58" s="90"/>
      <c r="H58" s="130"/>
      <c r="I58" s="61"/>
    </row>
    <row r="59" spans="2:9" x14ac:dyDescent="0.25">
      <c r="B59" s="118" t="s">
        <v>782</v>
      </c>
      <c r="C59" s="79"/>
      <c r="D59" s="98"/>
      <c r="E59" s="82"/>
      <c r="F59" s="101">
        <f>SUM(F51:F58)</f>
        <v>203959</v>
      </c>
      <c r="G59" s="82"/>
      <c r="H59" s="101">
        <f>SUM(H51:H58)</f>
        <v>198488</v>
      </c>
      <c r="I59" s="61"/>
    </row>
    <row r="60" spans="2:9" x14ac:dyDescent="0.25">
      <c r="B60" s="116"/>
      <c r="C60" s="79"/>
      <c r="D60" s="98"/>
      <c r="E60" s="82"/>
      <c r="F60" s="87"/>
      <c r="G60" s="82"/>
      <c r="H60" s="87"/>
      <c r="I60" s="61"/>
    </row>
    <row r="61" spans="2:9" ht="18.75" x14ac:dyDescent="0.3">
      <c r="B61" s="112" t="s">
        <v>113</v>
      </c>
      <c r="C61" s="79"/>
      <c r="D61" s="98">
        <v>30</v>
      </c>
      <c r="E61" s="82"/>
      <c r="F61" s="82"/>
      <c r="G61" s="82"/>
      <c r="H61" s="82"/>
      <c r="I61" s="61"/>
    </row>
    <row r="62" spans="2:9" x14ac:dyDescent="0.25">
      <c r="B62" s="116"/>
      <c r="C62" s="79"/>
      <c r="D62" s="98"/>
      <c r="E62" s="79"/>
      <c r="F62" s="86"/>
      <c r="G62" s="82"/>
      <c r="H62" s="86"/>
      <c r="I62" s="61"/>
    </row>
    <row r="63" spans="2:9" ht="18.75" x14ac:dyDescent="0.3">
      <c r="B63" s="112" t="s">
        <v>114</v>
      </c>
      <c r="C63" s="79"/>
      <c r="D63" s="98"/>
      <c r="E63" s="79"/>
      <c r="F63" s="86"/>
      <c r="G63" s="79"/>
      <c r="H63" s="86"/>
      <c r="I63" s="61"/>
    </row>
    <row r="64" spans="2:9" x14ac:dyDescent="0.25">
      <c r="B64" s="116" t="s">
        <v>115</v>
      </c>
      <c r="C64" s="79"/>
      <c r="D64" s="98">
        <v>21</v>
      </c>
      <c r="E64" s="82"/>
      <c r="F64" s="101">
        <f>+'הון עצמי'!P33</f>
        <v>109181</v>
      </c>
      <c r="G64" s="82"/>
      <c r="H64" s="101">
        <f>+'הון עצמי'!P24</f>
        <v>109185</v>
      </c>
      <c r="I64" s="61"/>
    </row>
    <row r="65" spans="1:9" x14ac:dyDescent="0.25">
      <c r="B65" s="116"/>
      <c r="C65" s="79"/>
      <c r="D65" s="98"/>
      <c r="E65" s="79"/>
      <c r="F65" s="91"/>
      <c r="G65" s="114"/>
      <c r="H65" s="91"/>
      <c r="I65" s="61"/>
    </row>
    <row r="66" spans="1:9" ht="19.5" thickBot="1" x14ac:dyDescent="0.35">
      <c r="B66" s="112" t="s">
        <v>783</v>
      </c>
      <c r="C66" s="79"/>
      <c r="E66" s="79"/>
      <c r="F66" s="102">
        <f>F59+F64+F47</f>
        <v>354320</v>
      </c>
      <c r="G66" s="84"/>
      <c r="H66" s="102">
        <f>H59+H64+H47</f>
        <v>350645</v>
      </c>
      <c r="I66" s="61"/>
    </row>
    <row r="67" spans="1:9" ht="16.5" thickTop="1" x14ac:dyDescent="0.25">
      <c r="B67" s="116"/>
      <c r="C67" s="79"/>
      <c r="E67" s="79"/>
      <c r="F67" s="83"/>
      <c r="G67" s="84"/>
      <c r="H67" s="83"/>
      <c r="I67" s="61"/>
    </row>
    <row r="68" spans="1:9" x14ac:dyDescent="0.25">
      <c r="B68" s="116"/>
      <c r="C68" s="79"/>
      <c r="E68" s="79"/>
      <c r="F68" s="83"/>
      <c r="G68" s="84"/>
      <c r="H68" s="84"/>
      <c r="I68" s="61"/>
    </row>
    <row r="69" spans="1:9" x14ac:dyDescent="0.25">
      <c r="B69" s="116"/>
      <c r="C69" s="79"/>
      <c r="E69" s="79"/>
      <c r="F69" s="83"/>
      <c r="G69" s="84"/>
      <c r="H69" s="84"/>
      <c r="I69" s="61"/>
    </row>
    <row r="70" spans="1:9" x14ac:dyDescent="0.25">
      <c r="B70" s="122" t="s">
        <v>867</v>
      </c>
      <c r="C70" s="79"/>
      <c r="D70" s="730" t="s">
        <v>866</v>
      </c>
      <c r="E70" s="730"/>
      <c r="F70" s="83"/>
      <c r="G70" s="731"/>
      <c r="H70" s="731"/>
      <c r="I70" s="61"/>
    </row>
    <row r="71" spans="1:9" s="103" customFormat="1" ht="18.75" x14ac:dyDescent="0.3">
      <c r="B71" s="142" t="s">
        <v>117</v>
      </c>
      <c r="D71" s="728" t="s">
        <v>118</v>
      </c>
      <c r="E71" s="728"/>
      <c r="F71" s="104"/>
      <c r="G71" s="729" t="s">
        <v>119</v>
      </c>
      <c r="H71" s="729"/>
      <c r="I71" s="123"/>
    </row>
    <row r="72" spans="1:9" ht="16.5" thickBot="1" x14ac:dyDescent="0.3">
      <c r="A72" s="76"/>
      <c r="B72" s="62"/>
      <c r="C72" s="124"/>
      <c r="D72" s="125"/>
      <c r="E72" s="126"/>
      <c r="F72" s="127"/>
      <c r="G72" s="128"/>
      <c r="H72" s="63"/>
      <c r="I72" s="64"/>
    </row>
    <row r="73" spans="1:9" x14ac:dyDescent="0.25">
      <c r="A73" s="76"/>
      <c r="B73" s="92"/>
      <c r="C73" s="79"/>
      <c r="E73" s="93"/>
      <c r="F73" s="83"/>
      <c r="G73" s="84"/>
      <c r="H73" s="78"/>
    </row>
    <row r="74" spans="1:9" x14ac:dyDescent="0.25">
      <c r="A74" s="76"/>
      <c r="B74" s="79"/>
      <c r="C74" s="79"/>
      <c r="E74" s="79"/>
      <c r="F74" s="83"/>
      <c r="G74" s="84"/>
      <c r="H74" s="78"/>
    </row>
    <row r="75" spans="1:9" x14ac:dyDescent="0.25">
      <c r="D75" s="79"/>
    </row>
    <row r="77" spans="1:9" ht="24.75" customHeight="1" x14ac:dyDescent="0.25"/>
    <row r="81" ht="2.25" customHeight="1" x14ac:dyDescent="0.25"/>
  </sheetData>
  <sheetProtection algorithmName="SHA-512" hashValue="8yV/wB+UbBZBjkhIw8wMmfsaDhD7L5b6BU3G1vtC5sCLdLqI38OgOJq3HBJA5OX6IQmydrS2OxRMhjEixx8kdQ==" saltValue="vKkZA2BqvcLL2gqhzn0iuA==" spinCount="100000" sheet="1" objects="1" scenarios="1"/>
  <mergeCells count="4">
    <mergeCell ref="D71:E71"/>
    <mergeCell ref="G71:H71"/>
    <mergeCell ref="D70:E70"/>
    <mergeCell ref="G70:H70"/>
  </mergeCells>
  <hyperlinks>
    <hyperlink ref="F5" location="'תוכן הענינים'!A1" display="הצג תוכן ענינים" xr:uid="{00000000-0004-0000-0300-000000000000}"/>
    <hyperlink ref="A6" location="'תוכן עניינים'!A1" display="תוכן עניינים" xr:uid="{00000000-0004-0000-0300-000001000000}"/>
    <hyperlink ref="D29" location="'ביאורים 12-29'!A9" display="'ביאורים 12-29'!A9" xr:uid="{00000000-0004-0000-0300-000002000000}"/>
    <hyperlink ref="D30" location="'ביאורים 12-29'!B551" display="'ביאורים 12-29'!B551" xr:uid="{00000000-0004-0000-0300-000003000000}"/>
    <hyperlink ref="D42" location="'ביאורים 12-29'!B18" display="'ביאורים 12-29'!B18" xr:uid="{00000000-0004-0000-0300-000004000000}"/>
    <hyperlink ref="D43" location="'ביאורים 12-29'!B278" display="'ביאורים 12-29'!B278" xr:uid="{00000000-0004-0000-0300-000005000000}"/>
    <hyperlink ref="D44" location="'ביאורים 12-29'!B30" display="'ביאורים 12-29'!B30" xr:uid="{00000000-0004-0000-0300-000006000000}"/>
    <hyperlink ref="D45" location="'ביאורים 12-29'!B54" display="'ביאורים 12-29'!B54" xr:uid="{00000000-0004-0000-0300-000007000000}"/>
    <hyperlink ref="D46" location="'ביאורים 12-29'!B64" display="'ביאורים 12-29'!B64" xr:uid="{00000000-0004-0000-0300-000008000000}"/>
    <hyperlink ref="D51" location="'ביאורים 12-29'!B76" display="17א" xr:uid="{00000000-0004-0000-0300-000009000000}"/>
    <hyperlink ref="D53" location="'ביאורים 12-29'!B178" display="17ג" xr:uid="{00000000-0004-0000-0300-00000A000000}"/>
    <hyperlink ref="D54" location="'ביאורים 12-29'!B249" display="'ביאורים 12-29'!B249" xr:uid="{00000000-0004-0000-0300-00000B000000}"/>
    <hyperlink ref="D56" location="'ביאורים 12-29'!B302" display="'ביאורים 12-29'!B302" xr:uid="{00000000-0004-0000-0300-00000C000000}"/>
    <hyperlink ref="D57" location="'ביאורים 12-29'!B551" display="'ביאורים 12-29'!B551" xr:uid="{00000000-0004-0000-0300-00000D000000}"/>
    <hyperlink ref="D61" location="'ביאורים 30-32'!B8" display="'ביאורים 30-32'!B8" xr:uid="{00000000-0004-0000-0300-00000E000000}"/>
    <hyperlink ref="D64" location="'ביאורים 12-29'!B317" display="'ביאורים 12-29'!B317" xr:uid="{00000000-0004-0000-0300-00000F000000}"/>
    <hyperlink ref="E26" location="'ביאור 11 פירוט'!A1" display="11פירוט" xr:uid="{00000000-0004-0000-0300-000010000000}"/>
    <hyperlink ref="D11" location="'ביאורים 1-9'!B188" display="'ביאורים 1-9'!B188" xr:uid="{00000000-0004-0000-0300-000011000000}"/>
    <hyperlink ref="D14" location="'ביאורים 1-9'!B216" display="'ביאורים 1-9'!B216" xr:uid="{00000000-0004-0000-0300-000012000000}"/>
    <hyperlink ref="D15" location="'ביאורים 1-9'!B241" display="'ביאורים 1-9'!B241" xr:uid="{00000000-0004-0000-0300-000013000000}"/>
    <hyperlink ref="D16" location="'ביאורים 1-9'!B258" display="'ביאורים 1-9'!B258" xr:uid="{00000000-0004-0000-0300-000014000000}"/>
    <hyperlink ref="D20" location="'ביאורים 1-9'!B267" display="'ביאורים 1-9'!B267" xr:uid="{00000000-0004-0000-0300-000015000000}"/>
    <hyperlink ref="D22" location="'ביאורים 1-9'!B277" display="'ביאורים 1-9'!B277" xr:uid="{00000000-0004-0000-0300-000016000000}"/>
    <hyperlink ref="D24" location="'ביאורים 10-11'!A1" display="'ביאורים 10-11'!A1" xr:uid="{00000000-0004-0000-0300-000017000000}"/>
    <hyperlink ref="E24" location="'ביאור 10 פירוט'!A1" display="10פירוט" xr:uid="{00000000-0004-0000-0300-000018000000}"/>
    <hyperlink ref="D26" location="'ביאורים 10-11'!A1" display="'ביאורים 10-11'!A1" xr:uid="{00000000-0004-0000-0300-000019000000}"/>
    <hyperlink ref="D55" location="'ביאורים 12-29'!B269" display="'ביאורים 12-29'!B269" xr:uid="{00000000-0004-0000-0300-00001A000000}"/>
    <hyperlink ref="D52" location="'ביאורים 12-29'!B133" display="17ב" xr:uid="{00000000-0004-0000-0300-00001B000000}"/>
    <hyperlink ref="D12" location="'ביאורים 1-9'!B201" display="'ביאורים 1-9'!B201" xr:uid="{00000000-0004-0000-0300-00001C000000}"/>
  </hyperlinks>
  <pageMargins left="0.70866141732283472" right="0.70866141732283472" top="0.74803149606299213" bottom="0.74803149606299213"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dimension ref="A1:M44"/>
  <sheetViews>
    <sheetView showGridLines="0" rightToLeft="1" zoomScale="85" zoomScaleNormal="85" workbookViewId="0">
      <selection activeCell="C10" sqref="C10:K40"/>
    </sheetView>
  </sheetViews>
  <sheetFormatPr defaultColWidth="8" defaultRowHeight="12.75" x14ac:dyDescent="0.2"/>
  <cols>
    <col min="1" max="4" width="8" style="654"/>
    <col min="5" max="7" width="17.5" style="654" customWidth="1"/>
    <col min="8" max="16384" width="8" style="654"/>
  </cols>
  <sheetData>
    <row r="1" spans="1:13" s="652" customFormat="1" ht="26.25" x14ac:dyDescent="0.4">
      <c r="A1" s="648" t="s">
        <v>776</v>
      </c>
      <c r="B1" s="649"/>
      <c r="C1" s="650">
        <f>הנחיות!C1</f>
        <v>2024</v>
      </c>
      <c r="D1" s="649"/>
      <c r="E1" s="649"/>
      <c r="F1" s="649"/>
      <c r="G1" s="649"/>
      <c r="H1" s="651"/>
    </row>
    <row r="2" spans="1:13" s="1" customFormat="1" ht="21" x14ac:dyDescent="0.35">
      <c r="A2" s="13" t="s">
        <v>772</v>
      </c>
      <c r="B2" s="6"/>
      <c r="C2" s="15" t="s">
        <v>778</v>
      </c>
      <c r="D2" s="6"/>
      <c r="E2" s="6"/>
      <c r="F2" s="6"/>
      <c r="G2" s="6"/>
      <c r="H2" s="28"/>
    </row>
    <row r="3" spans="1:13" s="1" customFormat="1" ht="21" x14ac:dyDescent="0.25">
      <c r="A3" s="7"/>
      <c r="B3" s="6"/>
      <c r="C3" s="6"/>
      <c r="D3" s="6"/>
      <c r="E3" s="6"/>
      <c r="F3" s="6"/>
      <c r="G3" s="6"/>
      <c r="H3" s="28"/>
    </row>
    <row r="4" spans="1:13" s="56" customFormat="1" ht="24" customHeight="1" x14ac:dyDescent="0.25">
      <c r="A4" s="58" t="s">
        <v>773</v>
      </c>
      <c r="B4" s="59"/>
      <c r="C4" s="65" t="str">
        <f>IF('פרטי התאגיד'!$G$9=0, "", 'פרטי התאגיד'!$G$9)</f>
        <v>פלגי מוצקין בע"מ</v>
      </c>
      <c r="D4" s="60"/>
      <c r="E4" s="60"/>
      <c r="F4" s="60"/>
      <c r="G4" s="550"/>
      <c r="H4" s="8"/>
      <c r="I4" s="8"/>
      <c r="J4" s="8"/>
      <c r="K4" s="8"/>
      <c r="L4" s="8"/>
      <c r="M4" s="8"/>
    </row>
    <row r="5" spans="1:13" s="56" customFormat="1" ht="21" x14ac:dyDescent="0.35">
      <c r="A5" s="8"/>
      <c r="B5" s="8"/>
      <c r="C5" s="8"/>
      <c r="D5" s="8"/>
      <c r="E5" s="8"/>
      <c r="F5" s="8"/>
      <c r="G5" s="57"/>
      <c r="H5" s="8"/>
      <c r="I5" s="8"/>
      <c r="J5" s="8"/>
      <c r="K5" s="8"/>
      <c r="L5" s="8"/>
      <c r="M5" s="8"/>
    </row>
    <row r="6" spans="1:13" s="56" customFormat="1" ht="18.75" x14ac:dyDescent="0.3">
      <c r="A6" s="30" t="s">
        <v>73</v>
      </c>
      <c r="B6" s="8"/>
      <c r="C6" s="8"/>
      <c r="D6" s="8"/>
      <c r="E6" s="8"/>
      <c r="F6" s="8"/>
      <c r="G6" s="8"/>
      <c r="H6" s="8"/>
      <c r="I6" s="8"/>
      <c r="J6" s="8"/>
      <c r="K6" s="8"/>
      <c r="L6" s="8"/>
    </row>
    <row r="7" spans="1:13" s="56" customFormat="1" ht="15.75" thickBot="1" x14ac:dyDescent="0.3">
      <c r="A7" s="8"/>
      <c r="B7" s="8"/>
      <c r="C7" s="8"/>
      <c r="D7" s="8"/>
      <c r="E7" s="8"/>
      <c r="F7" s="8"/>
      <c r="G7" s="8"/>
      <c r="H7" s="8"/>
      <c r="I7" s="8"/>
      <c r="J7" s="8"/>
      <c r="K7" s="8"/>
      <c r="L7" s="8"/>
    </row>
    <row r="8" spans="1:13" s="56" customFormat="1" ht="27" customHeight="1" x14ac:dyDescent="0.25">
      <c r="A8" s="8"/>
      <c r="B8" s="732" t="str">
        <f>"חוות דעת רואה החשבון המבקר לשנת "&amp;RIGHT('פרטי התאגיד'!G11,4)</f>
        <v>חוות דעת רואה החשבון המבקר לשנת 2024</v>
      </c>
      <c r="C8" s="733"/>
      <c r="D8" s="733"/>
      <c r="E8" s="733"/>
      <c r="F8" s="733"/>
      <c r="G8" s="733"/>
      <c r="H8" s="733"/>
      <c r="I8" s="733"/>
      <c r="J8" s="733"/>
      <c r="K8" s="733"/>
      <c r="L8" s="734"/>
    </row>
    <row r="9" spans="1:13" ht="11.25" customHeight="1" x14ac:dyDescent="0.25">
      <c r="A9" s="653"/>
      <c r="B9" s="655"/>
      <c r="C9" s="653"/>
      <c r="D9" s="653"/>
      <c r="E9" s="653"/>
      <c r="F9" s="653"/>
      <c r="G9" s="653"/>
      <c r="H9" s="653"/>
      <c r="I9" s="653"/>
      <c r="J9" s="653"/>
      <c r="K9" s="653"/>
      <c r="L9" s="656"/>
    </row>
    <row r="10" spans="1:13" ht="15.75" x14ac:dyDescent="0.25">
      <c r="A10" s="653"/>
      <c r="B10" s="655"/>
      <c r="C10" s="735"/>
      <c r="D10" s="736"/>
      <c r="E10" s="736"/>
      <c r="F10" s="736"/>
      <c r="G10" s="736"/>
      <c r="H10" s="736"/>
      <c r="I10" s="736"/>
      <c r="J10" s="736"/>
      <c r="K10" s="737"/>
      <c r="L10" s="656"/>
    </row>
    <row r="11" spans="1:13" ht="15.75" x14ac:dyDescent="0.25">
      <c r="A11" s="653"/>
      <c r="B11" s="655"/>
      <c r="C11" s="738"/>
      <c r="D11" s="739"/>
      <c r="E11" s="739"/>
      <c r="F11" s="739"/>
      <c r="G11" s="739"/>
      <c r="H11" s="739"/>
      <c r="I11" s="739"/>
      <c r="J11" s="739"/>
      <c r="K11" s="740"/>
      <c r="L11" s="656"/>
    </row>
    <row r="12" spans="1:13" ht="15.75" x14ac:dyDescent="0.25">
      <c r="A12" s="653"/>
      <c r="B12" s="655"/>
      <c r="C12" s="738"/>
      <c r="D12" s="739"/>
      <c r="E12" s="739"/>
      <c r="F12" s="739"/>
      <c r="G12" s="739"/>
      <c r="H12" s="739"/>
      <c r="I12" s="739"/>
      <c r="J12" s="739"/>
      <c r="K12" s="740"/>
      <c r="L12" s="656"/>
    </row>
    <row r="13" spans="1:13" ht="15.75" x14ac:dyDescent="0.25">
      <c r="A13" s="653"/>
      <c r="B13" s="655"/>
      <c r="C13" s="738"/>
      <c r="D13" s="739"/>
      <c r="E13" s="739"/>
      <c r="F13" s="739"/>
      <c r="G13" s="739"/>
      <c r="H13" s="739"/>
      <c r="I13" s="739"/>
      <c r="J13" s="739"/>
      <c r="K13" s="740"/>
      <c r="L13" s="656"/>
    </row>
    <row r="14" spans="1:13" ht="15.75" x14ac:dyDescent="0.25">
      <c r="A14" s="653"/>
      <c r="B14" s="655"/>
      <c r="C14" s="738"/>
      <c r="D14" s="739"/>
      <c r="E14" s="739"/>
      <c r="F14" s="739"/>
      <c r="G14" s="739"/>
      <c r="H14" s="739"/>
      <c r="I14" s="739"/>
      <c r="J14" s="739"/>
      <c r="K14" s="740"/>
      <c r="L14" s="656"/>
    </row>
    <row r="15" spans="1:13" ht="15.75" x14ac:dyDescent="0.25">
      <c r="A15" s="653"/>
      <c r="B15" s="655"/>
      <c r="C15" s="738"/>
      <c r="D15" s="739"/>
      <c r="E15" s="739"/>
      <c r="F15" s="739"/>
      <c r="G15" s="739"/>
      <c r="H15" s="739"/>
      <c r="I15" s="739"/>
      <c r="J15" s="739"/>
      <c r="K15" s="740"/>
      <c r="L15" s="656"/>
    </row>
    <row r="16" spans="1:13" ht="15.75" x14ac:dyDescent="0.25">
      <c r="A16" s="653"/>
      <c r="B16" s="655"/>
      <c r="C16" s="738"/>
      <c r="D16" s="739"/>
      <c r="E16" s="739"/>
      <c r="F16" s="739"/>
      <c r="G16" s="739"/>
      <c r="H16" s="739"/>
      <c r="I16" s="739"/>
      <c r="J16" s="739"/>
      <c r="K16" s="740"/>
      <c r="L16" s="656"/>
    </row>
    <row r="17" spans="1:12" ht="15.75" x14ac:dyDescent="0.25">
      <c r="A17" s="653"/>
      <c r="B17" s="655"/>
      <c r="C17" s="738"/>
      <c r="D17" s="739"/>
      <c r="E17" s="739"/>
      <c r="F17" s="739"/>
      <c r="G17" s="739"/>
      <c r="H17" s="739"/>
      <c r="I17" s="739"/>
      <c r="J17" s="739"/>
      <c r="K17" s="740"/>
      <c r="L17" s="656"/>
    </row>
    <row r="18" spans="1:12" ht="15.75" x14ac:dyDescent="0.25">
      <c r="A18" s="653"/>
      <c r="B18" s="655"/>
      <c r="C18" s="738"/>
      <c r="D18" s="739"/>
      <c r="E18" s="739"/>
      <c r="F18" s="739"/>
      <c r="G18" s="739"/>
      <c r="H18" s="739"/>
      <c r="I18" s="739"/>
      <c r="J18" s="739"/>
      <c r="K18" s="740"/>
      <c r="L18" s="656"/>
    </row>
    <row r="19" spans="1:12" ht="15.75" x14ac:dyDescent="0.25">
      <c r="A19" s="653"/>
      <c r="B19" s="655"/>
      <c r="C19" s="738"/>
      <c r="D19" s="739"/>
      <c r="E19" s="739"/>
      <c r="F19" s="739"/>
      <c r="G19" s="739"/>
      <c r="H19" s="739"/>
      <c r="I19" s="739"/>
      <c r="J19" s="739"/>
      <c r="K19" s="740"/>
      <c r="L19" s="656"/>
    </row>
    <row r="20" spans="1:12" ht="15.75" x14ac:dyDescent="0.25">
      <c r="A20" s="653"/>
      <c r="B20" s="655"/>
      <c r="C20" s="738"/>
      <c r="D20" s="739"/>
      <c r="E20" s="739"/>
      <c r="F20" s="739"/>
      <c r="G20" s="739"/>
      <c r="H20" s="739"/>
      <c r="I20" s="739"/>
      <c r="J20" s="739"/>
      <c r="K20" s="740"/>
      <c r="L20" s="656"/>
    </row>
    <row r="21" spans="1:12" ht="15.75" x14ac:dyDescent="0.25">
      <c r="A21" s="653"/>
      <c r="B21" s="655"/>
      <c r="C21" s="738"/>
      <c r="D21" s="739"/>
      <c r="E21" s="739"/>
      <c r="F21" s="739"/>
      <c r="G21" s="739"/>
      <c r="H21" s="739"/>
      <c r="I21" s="739"/>
      <c r="J21" s="739"/>
      <c r="K21" s="740"/>
      <c r="L21" s="656"/>
    </row>
    <row r="22" spans="1:12" ht="15.75" x14ac:dyDescent="0.25">
      <c r="A22" s="653"/>
      <c r="B22" s="655"/>
      <c r="C22" s="738"/>
      <c r="D22" s="739"/>
      <c r="E22" s="739"/>
      <c r="F22" s="739"/>
      <c r="G22" s="739"/>
      <c r="H22" s="739"/>
      <c r="I22" s="739"/>
      <c r="J22" s="739"/>
      <c r="K22" s="740"/>
      <c r="L22" s="656"/>
    </row>
    <row r="23" spans="1:12" ht="15.75" x14ac:dyDescent="0.25">
      <c r="A23" s="653"/>
      <c r="B23" s="655"/>
      <c r="C23" s="738"/>
      <c r="D23" s="739"/>
      <c r="E23" s="739"/>
      <c r="F23" s="739"/>
      <c r="G23" s="739"/>
      <c r="H23" s="739"/>
      <c r="I23" s="739"/>
      <c r="J23" s="739"/>
      <c r="K23" s="740"/>
      <c r="L23" s="656"/>
    </row>
    <row r="24" spans="1:12" ht="15.75" x14ac:dyDescent="0.25">
      <c r="A24" s="653"/>
      <c r="B24" s="655"/>
      <c r="C24" s="738"/>
      <c r="D24" s="739"/>
      <c r="E24" s="739"/>
      <c r="F24" s="739"/>
      <c r="G24" s="739"/>
      <c r="H24" s="739"/>
      <c r="I24" s="739"/>
      <c r="J24" s="739"/>
      <c r="K24" s="740"/>
      <c r="L24" s="656"/>
    </row>
    <row r="25" spans="1:12" ht="15.75" x14ac:dyDescent="0.25">
      <c r="A25" s="653"/>
      <c r="B25" s="655"/>
      <c r="C25" s="738"/>
      <c r="D25" s="739"/>
      <c r="E25" s="739"/>
      <c r="F25" s="739"/>
      <c r="G25" s="739"/>
      <c r="H25" s="739"/>
      <c r="I25" s="739"/>
      <c r="J25" s="739"/>
      <c r="K25" s="740"/>
      <c r="L25" s="656"/>
    </row>
    <row r="26" spans="1:12" ht="15.75" x14ac:dyDescent="0.25">
      <c r="A26" s="653"/>
      <c r="B26" s="655"/>
      <c r="C26" s="738"/>
      <c r="D26" s="739"/>
      <c r="E26" s="739"/>
      <c r="F26" s="739"/>
      <c r="G26" s="739"/>
      <c r="H26" s="739"/>
      <c r="I26" s="739"/>
      <c r="J26" s="739"/>
      <c r="K26" s="740"/>
      <c r="L26" s="656"/>
    </row>
    <row r="27" spans="1:12" ht="15.75" x14ac:dyDescent="0.25">
      <c r="A27" s="653"/>
      <c r="B27" s="655"/>
      <c r="C27" s="738"/>
      <c r="D27" s="739"/>
      <c r="E27" s="739"/>
      <c r="F27" s="739"/>
      <c r="G27" s="739"/>
      <c r="H27" s="739"/>
      <c r="I27" s="739"/>
      <c r="J27" s="739"/>
      <c r="K27" s="740"/>
      <c r="L27" s="656"/>
    </row>
    <row r="28" spans="1:12" ht="15.75" x14ac:dyDescent="0.25">
      <c r="A28" s="653"/>
      <c r="B28" s="655"/>
      <c r="C28" s="738"/>
      <c r="D28" s="739"/>
      <c r="E28" s="739"/>
      <c r="F28" s="739"/>
      <c r="G28" s="739"/>
      <c r="H28" s="739"/>
      <c r="I28" s="739"/>
      <c r="J28" s="739"/>
      <c r="K28" s="740"/>
      <c r="L28" s="656"/>
    </row>
    <row r="29" spans="1:12" ht="15.75" x14ac:dyDescent="0.25">
      <c r="A29" s="653"/>
      <c r="B29" s="655"/>
      <c r="C29" s="738"/>
      <c r="D29" s="739"/>
      <c r="E29" s="739"/>
      <c r="F29" s="739"/>
      <c r="G29" s="739"/>
      <c r="H29" s="739"/>
      <c r="I29" s="739"/>
      <c r="J29" s="739"/>
      <c r="K29" s="740"/>
      <c r="L29" s="656"/>
    </row>
    <row r="30" spans="1:12" ht="15.75" x14ac:dyDescent="0.25">
      <c r="A30" s="653"/>
      <c r="B30" s="655"/>
      <c r="C30" s="738"/>
      <c r="D30" s="739"/>
      <c r="E30" s="739"/>
      <c r="F30" s="739"/>
      <c r="G30" s="739"/>
      <c r="H30" s="739"/>
      <c r="I30" s="739"/>
      <c r="J30" s="739"/>
      <c r="K30" s="740"/>
      <c r="L30" s="656"/>
    </row>
    <row r="31" spans="1:12" ht="15.75" x14ac:dyDescent="0.25">
      <c r="A31" s="653"/>
      <c r="B31" s="655"/>
      <c r="C31" s="738"/>
      <c r="D31" s="739"/>
      <c r="E31" s="739"/>
      <c r="F31" s="739"/>
      <c r="G31" s="739"/>
      <c r="H31" s="739"/>
      <c r="I31" s="739"/>
      <c r="J31" s="739"/>
      <c r="K31" s="740"/>
      <c r="L31" s="656"/>
    </row>
    <row r="32" spans="1:12" ht="15.75" x14ac:dyDescent="0.25">
      <c r="A32" s="653"/>
      <c r="B32" s="655"/>
      <c r="C32" s="738"/>
      <c r="D32" s="739"/>
      <c r="E32" s="739"/>
      <c r="F32" s="739"/>
      <c r="G32" s="739"/>
      <c r="H32" s="739"/>
      <c r="I32" s="739"/>
      <c r="J32" s="739"/>
      <c r="K32" s="740"/>
      <c r="L32" s="656"/>
    </row>
    <row r="33" spans="1:12" ht="15.75" x14ac:dyDescent="0.25">
      <c r="A33" s="653"/>
      <c r="B33" s="655"/>
      <c r="C33" s="738"/>
      <c r="D33" s="739"/>
      <c r="E33" s="739"/>
      <c r="F33" s="739"/>
      <c r="G33" s="739"/>
      <c r="H33" s="739"/>
      <c r="I33" s="739"/>
      <c r="J33" s="739"/>
      <c r="K33" s="740"/>
      <c r="L33" s="656"/>
    </row>
    <row r="34" spans="1:12" ht="15.75" x14ac:dyDescent="0.25">
      <c r="A34" s="653"/>
      <c r="B34" s="655"/>
      <c r="C34" s="738"/>
      <c r="D34" s="739"/>
      <c r="E34" s="739"/>
      <c r="F34" s="739"/>
      <c r="G34" s="739"/>
      <c r="H34" s="739"/>
      <c r="I34" s="739"/>
      <c r="J34" s="739"/>
      <c r="K34" s="740"/>
      <c r="L34" s="656"/>
    </row>
    <row r="35" spans="1:12" ht="15.75" x14ac:dyDescent="0.25">
      <c r="A35" s="653"/>
      <c r="B35" s="655"/>
      <c r="C35" s="738"/>
      <c r="D35" s="739"/>
      <c r="E35" s="739"/>
      <c r="F35" s="739"/>
      <c r="G35" s="739"/>
      <c r="H35" s="739"/>
      <c r="I35" s="739"/>
      <c r="J35" s="739"/>
      <c r="K35" s="740"/>
      <c r="L35" s="656"/>
    </row>
    <row r="36" spans="1:12" ht="15.75" x14ac:dyDescent="0.25">
      <c r="A36" s="653"/>
      <c r="B36" s="655"/>
      <c r="C36" s="738"/>
      <c r="D36" s="739"/>
      <c r="E36" s="739"/>
      <c r="F36" s="739"/>
      <c r="G36" s="739"/>
      <c r="H36" s="739"/>
      <c r="I36" s="739"/>
      <c r="J36" s="739"/>
      <c r="K36" s="740"/>
      <c r="L36" s="656"/>
    </row>
    <row r="37" spans="1:12" ht="15.75" x14ac:dyDescent="0.25">
      <c r="A37" s="653"/>
      <c r="B37" s="655"/>
      <c r="C37" s="738"/>
      <c r="D37" s="739"/>
      <c r="E37" s="739"/>
      <c r="F37" s="739"/>
      <c r="G37" s="739"/>
      <c r="H37" s="739"/>
      <c r="I37" s="739"/>
      <c r="J37" s="739"/>
      <c r="K37" s="740"/>
      <c r="L37" s="656"/>
    </row>
    <row r="38" spans="1:12" ht="15.75" x14ac:dyDescent="0.25">
      <c r="A38" s="653"/>
      <c r="B38" s="655"/>
      <c r="C38" s="738"/>
      <c r="D38" s="739"/>
      <c r="E38" s="739"/>
      <c r="F38" s="739"/>
      <c r="G38" s="739"/>
      <c r="H38" s="739"/>
      <c r="I38" s="739"/>
      <c r="J38" s="739"/>
      <c r="K38" s="740"/>
      <c r="L38" s="656"/>
    </row>
    <row r="39" spans="1:12" ht="15.75" x14ac:dyDescent="0.25">
      <c r="A39" s="653"/>
      <c r="B39" s="655"/>
      <c r="C39" s="738"/>
      <c r="D39" s="739"/>
      <c r="E39" s="739"/>
      <c r="F39" s="739"/>
      <c r="G39" s="739"/>
      <c r="H39" s="739"/>
      <c r="I39" s="739"/>
      <c r="J39" s="739"/>
      <c r="K39" s="740"/>
      <c r="L39" s="656"/>
    </row>
    <row r="40" spans="1:12" ht="15.75" x14ac:dyDescent="0.25">
      <c r="A40" s="653"/>
      <c r="B40" s="655"/>
      <c r="C40" s="741"/>
      <c r="D40" s="742"/>
      <c r="E40" s="742"/>
      <c r="F40" s="742"/>
      <c r="G40" s="742"/>
      <c r="H40" s="742"/>
      <c r="I40" s="742"/>
      <c r="J40" s="742"/>
      <c r="K40" s="743"/>
      <c r="L40" s="656"/>
    </row>
    <row r="41" spans="1:12" ht="16.5" thickBot="1" x14ac:dyDescent="0.3">
      <c r="A41" s="653"/>
      <c r="B41" s="657"/>
      <c r="C41" s="658"/>
      <c r="D41" s="658"/>
      <c r="E41" s="658"/>
      <c r="F41" s="658"/>
      <c r="G41" s="658"/>
      <c r="H41" s="658"/>
      <c r="I41" s="658"/>
      <c r="J41" s="658"/>
      <c r="K41" s="658"/>
      <c r="L41" s="659"/>
    </row>
    <row r="42" spans="1:12" ht="15" x14ac:dyDescent="0.25">
      <c r="A42" s="653"/>
      <c r="B42" s="653"/>
      <c r="C42" s="653"/>
      <c r="D42" s="653"/>
      <c r="E42" s="653"/>
      <c r="F42" s="653"/>
      <c r="G42" s="653"/>
      <c r="H42" s="653"/>
      <c r="I42" s="653"/>
      <c r="J42" s="653"/>
      <c r="K42" s="653"/>
      <c r="L42" s="653"/>
    </row>
    <row r="43" spans="1:12" ht="15" x14ac:dyDescent="0.25">
      <c r="A43" s="653"/>
      <c r="B43" s="653"/>
      <c r="C43" s="653"/>
      <c r="D43" s="653"/>
      <c r="E43" s="653"/>
      <c r="F43" s="653"/>
      <c r="G43" s="653"/>
      <c r="H43" s="653"/>
      <c r="I43" s="653"/>
      <c r="J43" s="653"/>
      <c r="K43" s="653"/>
      <c r="L43" s="653"/>
    </row>
    <row r="44" spans="1:12" ht="15" x14ac:dyDescent="0.25">
      <c r="A44" s="653"/>
      <c r="B44" s="653"/>
      <c r="C44" s="653"/>
      <c r="D44" s="653"/>
      <c r="E44" s="653"/>
      <c r="F44" s="653"/>
      <c r="G44" s="653"/>
      <c r="H44" s="653"/>
      <c r="I44" s="653"/>
      <c r="J44" s="653"/>
      <c r="K44" s="653"/>
      <c r="L44" s="653"/>
    </row>
  </sheetData>
  <sheetProtection algorithmName="SHA-512" hashValue="bGJdRJ9m6S1kXASGIoyvX9P3NweD1zvPLLNytE40/tpXQ1MMG989kCm2qzysYRkxkr+BcO4u4ATokIbVecAUTw==" saltValue="EHdlK0MeqmWAAQOBnyy6ug==" spinCount="100000" sheet="1" objects="1" scenarios="1"/>
  <mergeCells count="2">
    <mergeCell ref="B8:L8"/>
    <mergeCell ref="C10:K40"/>
  </mergeCells>
  <hyperlinks>
    <hyperlink ref="A6" location="'תוכן עניינים'!A1" display="תוכן ענינים"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pageSetUpPr fitToPage="1"/>
  </sheetPr>
  <dimension ref="A1:N29"/>
  <sheetViews>
    <sheetView showGridLines="0" rightToLeft="1" zoomScale="85" zoomScaleNormal="85" workbookViewId="0">
      <selection activeCell="G22" sqref="G22"/>
    </sheetView>
  </sheetViews>
  <sheetFormatPr defaultColWidth="8" defaultRowHeight="12.75" x14ac:dyDescent="0.2"/>
  <cols>
    <col min="1" max="3" width="8" style="56"/>
    <col min="4" max="4" width="17.75" style="56" customWidth="1"/>
    <col min="5" max="5" width="6.625" style="56" customWidth="1"/>
    <col min="6" max="6" width="11.75" style="56" customWidth="1"/>
    <col min="7" max="7" width="15.75" style="56" customWidth="1"/>
    <col min="8" max="8" width="1.25" style="56" customWidth="1"/>
    <col min="9" max="9" width="13" style="56" customWidth="1"/>
    <col min="10" max="10" width="2.125" style="56" customWidth="1"/>
    <col min="11" max="16384" width="8" style="56"/>
  </cols>
  <sheetData>
    <row r="1" spans="1:14" s="71" customFormat="1" ht="24.75" customHeight="1" x14ac:dyDescent="0.5">
      <c r="A1" s="11" t="s">
        <v>776</v>
      </c>
      <c r="B1" s="5"/>
      <c r="C1" s="12">
        <f>הנחיות!C1</f>
        <v>2024</v>
      </c>
      <c r="D1" s="5"/>
      <c r="E1" s="5"/>
      <c r="F1" s="5"/>
      <c r="G1" s="5"/>
      <c r="H1" s="70"/>
      <c r="I1" s="73"/>
      <c r="J1" s="73"/>
      <c r="K1" s="131"/>
    </row>
    <row r="2" spans="1:14" s="71" customFormat="1" ht="26.25" customHeight="1" x14ac:dyDescent="0.5">
      <c r="A2" s="13" t="s">
        <v>772</v>
      </c>
      <c r="B2" s="6"/>
      <c r="C2" s="15" t="s">
        <v>784</v>
      </c>
      <c r="D2" s="6"/>
      <c r="E2" s="6"/>
      <c r="F2" s="6"/>
      <c r="G2" s="6"/>
      <c r="H2" s="72"/>
      <c r="I2" s="73"/>
      <c r="J2" s="73"/>
      <c r="N2" s="56"/>
    </row>
    <row r="3" spans="1:14" s="71" customFormat="1" ht="17.100000000000001" customHeight="1" x14ac:dyDescent="0.5">
      <c r="A3" s="7"/>
      <c r="B3" s="6"/>
      <c r="C3" s="6"/>
      <c r="D3" s="6"/>
      <c r="E3" s="6"/>
      <c r="F3" s="6"/>
      <c r="G3" s="6"/>
      <c r="H3" s="72"/>
      <c r="I3" s="73"/>
      <c r="J3" s="73"/>
      <c r="N3" s="56"/>
    </row>
    <row r="4" spans="1:14" s="71" customFormat="1" ht="17.100000000000001" customHeight="1" x14ac:dyDescent="0.5">
      <c r="A4" s="58" t="s">
        <v>773</v>
      </c>
      <c r="B4" s="59"/>
      <c r="C4" s="65" t="str">
        <f>IF('פרטי התאגיד'!$G$9=0, "", 'פרטי התאגיד'!$G$9)</f>
        <v>פלגי מוצקין בע"מ</v>
      </c>
      <c r="D4" s="60"/>
      <c r="E4" s="60"/>
      <c r="F4" s="60"/>
      <c r="G4" s="60"/>
      <c r="H4" s="132"/>
      <c r="I4" s="148"/>
      <c r="J4" s="133"/>
      <c r="N4" s="56"/>
    </row>
    <row r="5" spans="1:14" s="136" customFormat="1" ht="19.5" customHeight="1" x14ac:dyDescent="0.35">
      <c r="A5" s="134"/>
      <c r="B5" s="135"/>
      <c r="C5" s="135"/>
      <c r="D5" s="135"/>
      <c r="E5" s="135"/>
      <c r="G5" s="135"/>
      <c r="H5" s="135"/>
      <c r="I5" s="135"/>
    </row>
    <row r="6" spans="1:14" ht="19.5" customHeight="1" x14ac:dyDescent="0.35">
      <c r="A6" s="30" t="s">
        <v>1</v>
      </c>
      <c r="B6" s="141"/>
      <c r="C6" s="141"/>
      <c r="D6" s="141"/>
      <c r="E6" s="141"/>
      <c r="F6" s="141"/>
      <c r="G6" s="141"/>
      <c r="H6" s="141"/>
      <c r="I6" s="141"/>
    </row>
    <row r="7" spans="1:14" ht="15.75" thickBot="1" x14ac:dyDescent="0.3">
      <c r="A7" s="76"/>
      <c r="B7" s="96"/>
      <c r="C7" s="96"/>
      <c r="D7" s="96"/>
      <c r="E7" s="96"/>
      <c r="F7" s="96"/>
      <c r="G7" s="96"/>
      <c r="H7" s="96"/>
      <c r="I7" s="96"/>
    </row>
    <row r="8" spans="1:14" ht="15" x14ac:dyDescent="0.25">
      <c r="A8" s="77"/>
      <c r="B8" s="105"/>
      <c r="C8" s="106"/>
      <c r="D8" s="106"/>
      <c r="E8" s="106"/>
      <c r="F8" s="106"/>
      <c r="G8" s="106"/>
      <c r="H8" s="106"/>
      <c r="I8" s="106"/>
      <c r="J8" s="108"/>
    </row>
    <row r="9" spans="1:14" ht="15.75" x14ac:dyDescent="0.25">
      <c r="B9" s="116"/>
      <c r="C9" s="79"/>
      <c r="D9" s="79"/>
      <c r="E9" s="78" t="s">
        <v>75</v>
      </c>
      <c r="F9" s="78"/>
      <c r="G9" s="99" t="str">
        <f>RIGHT('פרטי התאגיד'!$G$11,4)</f>
        <v>2024</v>
      </c>
      <c r="H9" s="78"/>
      <c r="I9" s="99" t="str">
        <f>RIGHT('פרטי התאגיד'!$G$13,4)</f>
        <v>2023</v>
      </c>
      <c r="J9" s="61"/>
    </row>
    <row r="10" spans="1:14" ht="15.75" x14ac:dyDescent="0.25">
      <c r="B10" s="121"/>
      <c r="C10" s="79"/>
      <c r="D10" s="79"/>
      <c r="E10" s="98"/>
      <c r="F10" s="79"/>
      <c r="G10" s="79"/>
      <c r="H10" s="79"/>
      <c r="I10" s="79"/>
      <c r="J10" s="110"/>
    </row>
    <row r="11" spans="1:14" ht="15.75" x14ac:dyDescent="0.25">
      <c r="B11" s="143" t="s">
        <v>120</v>
      </c>
      <c r="C11" s="18"/>
      <c r="D11" s="79"/>
      <c r="E11" s="98">
        <v>22</v>
      </c>
      <c r="F11" s="82"/>
      <c r="G11" s="137">
        <f>'ביאורים 12-29'!H341+'ביאורים 12-29'!H394+'ביאורים 12-29'!H440+'ביאורים 12-29'!H452</f>
        <v>73183</v>
      </c>
      <c r="H11" s="82"/>
      <c r="I11" s="137">
        <f>'ביאורים 12-29'!J341+'ביאורים 12-29'!J394+'ביאורים 12-29'!J440+'ביאורים 12-29'!J452</f>
        <v>70564</v>
      </c>
      <c r="J11" s="110"/>
    </row>
    <row r="12" spans="1:14" ht="15.75" x14ac:dyDescent="0.25">
      <c r="B12" s="143" t="s">
        <v>121</v>
      </c>
      <c r="C12" s="18"/>
      <c r="D12" s="79"/>
      <c r="E12" s="98">
        <v>22</v>
      </c>
      <c r="F12" s="82"/>
      <c r="G12" s="138">
        <f>'ביאורים 12-29'!H357+'ביאורים 12-29'!H379+'ביאורים 12-29'!H411+'ביאורים 12-29'!H425+'ביאורים 12-29'!H441+'ביאורים 12-29'!H462-'ביאורים 12-29'!H428</f>
        <v>67432</v>
      </c>
      <c r="H12" s="82"/>
      <c r="I12" s="139">
        <f>'ביאורים 12-29'!J357+'ביאורים 12-29'!J379+'ביאורים 12-29'!J411+'ביאורים 12-29'!J425-'ביאורים 12-29'!J428+'ביאורים 12-29'!J441+'ביאורים 12-29'!J462</f>
        <v>57688</v>
      </c>
      <c r="J12" s="110"/>
    </row>
    <row r="13" spans="1:14" ht="15.75" x14ac:dyDescent="0.25">
      <c r="B13" s="144" t="s">
        <v>122</v>
      </c>
      <c r="C13" s="18"/>
      <c r="D13" s="79"/>
      <c r="E13" s="98"/>
      <c r="F13" s="82"/>
      <c r="G13" s="101">
        <f>G11-G12</f>
        <v>5751</v>
      </c>
      <c r="H13" s="82"/>
      <c r="I13" s="101">
        <f>I11-I12</f>
        <v>12876</v>
      </c>
      <c r="J13" s="61"/>
    </row>
    <row r="14" spans="1:14" ht="15.75" x14ac:dyDescent="0.25">
      <c r="B14" s="143"/>
      <c r="C14" s="18"/>
      <c r="D14" s="79"/>
      <c r="E14" s="98"/>
      <c r="F14" s="82"/>
      <c r="G14" s="82"/>
      <c r="H14" s="82"/>
      <c r="I14" s="82"/>
      <c r="J14" s="61"/>
    </row>
    <row r="15" spans="1:14" ht="15.75" x14ac:dyDescent="0.25">
      <c r="B15" s="143" t="s">
        <v>123</v>
      </c>
      <c r="C15" s="18"/>
      <c r="D15" s="79"/>
      <c r="E15" s="98">
        <v>23</v>
      </c>
      <c r="F15" s="82"/>
      <c r="G15" s="137">
        <f>'ביאורים 12-29'!H487</f>
        <v>7072</v>
      </c>
      <c r="H15" s="82"/>
      <c r="I15" s="137">
        <f>'ביאורים 12-29'!J487</f>
        <v>4860</v>
      </c>
      <c r="J15" s="61"/>
    </row>
    <row r="16" spans="1:14" ht="15.75" x14ac:dyDescent="0.25">
      <c r="B16" s="143" t="s">
        <v>124</v>
      </c>
      <c r="C16" s="18"/>
      <c r="D16" s="79"/>
      <c r="E16" s="98">
        <v>24</v>
      </c>
      <c r="F16" s="82"/>
      <c r="G16" s="138">
        <f>'ביאורים 12-29'!H509</f>
        <v>4991</v>
      </c>
      <c r="H16" s="79"/>
      <c r="I16" s="138">
        <f>'ביאורים 12-29'!J509</f>
        <v>4144</v>
      </c>
      <c r="J16" s="110"/>
    </row>
    <row r="17" spans="2:10" ht="15.75" x14ac:dyDescent="0.25">
      <c r="B17" s="144" t="s">
        <v>125</v>
      </c>
      <c r="C17" s="18"/>
      <c r="D17" s="79"/>
      <c r="E17" s="98"/>
      <c r="F17" s="79"/>
      <c r="G17" s="101">
        <f>G13-G15-G16</f>
        <v>-6312</v>
      </c>
      <c r="H17" s="82"/>
      <c r="I17" s="101">
        <f>I13-I15-I16</f>
        <v>3872</v>
      </c>
      <c r="J17" s="61"/>
    </row>
    <row r="18" spans="2:10" ht="15.75" x14ac:dyDescent="0.25">
      <c r="B18" s="143"/>
      <c r="C18" s="18"/>
      <c r="D18" s="79"/>
      <c r="E18" s="98"/>
      <c r="F18" s="79"/>
      <c r="G18" s="79"/>
      <c r="H18" s="79"/>
      <c r="I18" s="79"/>
      <c r="J18" s="61"/>
    </row>
    <row r="19" spans="2:10" ht="15.75" x14ac:dyDescent="0.25">
      <c r="B19" s="143" t="s">
        <v>126</v>
      </c>
      <c r="C19" s="18"/>
      <c r="D19" s="79"/>
      <c r="E19" s="98">
        <v>25</v>
      </c>
      <c r="F19" s="82"/>
      <c r="G19" s="138">
        <f>'ביאורים 12-29'!H535</f>
        <v>4288</v>
      </c>
      <c r="H19" s="82"/>
      <c r="I19" s="138">
        <f>'ביאורים 12-29'!J535</f>
        <v>2671</v>
      </c>
      <c r="J19" s="110"/>
    </row>
    <row r="20" spans="2:10" ht="15.75" x14ac:dyDescent="0.25">
      <c r="B20" s="144" t="s">
        <v>127</v>
      </c>
      <c r="C20" s="18"/>
      <c r="D20" s="79"/>
      <c r="E20" s="98"/>
      <c r="F20" s="82"/>
      <c r="G20" s="101">
        <f>G17+G19</f>
        <v>-2024</v>
      </c>
      <c r="H20" s="82"/>
      <c r="I20" s="101">
        <f>I17+I19</f>
        <v>6543</v>
      </c>
      <c r="J20" s="61"/>
    </row>
    <row r="21" spans="2:10" ht="15.75" x14ac:dyDescent="0.25">
      <c r="B21" s="143"/>
      <c r="C21" s="18"/>
      <c r="D21" s="79"/>
      <c r="E21" s="98"/>
      <c r="F21" s="79"/>
      <c r="G21" s="79"/>
      <c r="H21" s="82"/>
      <c r="I21" s="79"/>
      <c r="J21" s="61"/>
    </row>
    <row r="22" spans="2:10" ht="15.75" x14ac:dyDescent="0.25">
      <c r="B22" s="143" t="s">
        <v>128</v>
      </c>
      <c r="C22" s="18"/>
      <c r="D22" s="79"/>
      <c r="E22" s="98">
        <v>26</v>
      </c>
      <c r="F22" s="82"/>
      <c r="G22" s="138">
        <f>'ביאורים 12-29'!H551</f>
        <v>2001</v>
      </c>
      <c r="H22" s="82"/>
      <c r="I22" s="138">
        <f>'ביאורים 12-29'!J551</f>
        <v>12007</v>
      </c>
      <c r="J22" s="110"/>
    </row>
    <row r="23" spans="2:10" ht="15.75" x14ac:dyDescent="0.25">
      <c r="B23" s="144" t="s">
        <v>129</v>
      </c>
      <c r="C23" s="18"/>
      <c r="D23" s="79"/>
      <c r="E23" s="98"/>
      <c r="F23" s="79"/>
      <c r="G23" s="101">
        <f>G20+G22</f>
        <v>-23</v>
      </c>
      <c r="H23" s="82"/>
      <c r="I23" s="101">
        <f>I20+I22</f>
        <v>18550</v>
      </c>
      <c r="J23" s="61"/>
    </row>
    <row r="24" spans="2:10" ht="15.75" x14ac:dyDescent="0.25">
      <c r="B24" s="143"/>
      <c r="C24" s="18"/>
      <c r="D24" s="79"/>
      <c r="E24" s="98"/>
      <c r="F24" s="79"/>
      <c r="G24" s="79"/>
      <c r="H24" s="79"/>
      <c r="I24" s="79"/>
      <c r="J24" s="61"/>
    </row>
    <row r="25" spans="2:10" ht="15.75" x14ac:dyDescent="0.25">
      <c r="B25" s="143" t="s">
        <v>130</v>
      </c>
      <c r="C25" s="18"/>
      <c r="D25" s="79"/>
      <c r="E25" s="98">
        <v>27</v>
      </c>
      <c r="F25" s="82"/>
      <c r="G25" s="137">
        <f>-'ביאורים 12-29'!H564</f>
        <v>19</v>
      </c>
      <c r="H25" s="82"/>
      <c r="I25" s="137">
        <f>-'ביאורים 12-29'!J564</f>
        <v>-5641</v>
      </c>
      <c r="J25" s="110"/>
    </row>
    <row r="26" spans="2:10" ht="15.75" x14ac:dyDescent="0.25">
      <c r="B26" s="143" t="s">
        <v>131</v>
      </c>
      <c r="C26" s="18"/>
      <c r="D26" s="79"/>
      <c r="E26" s="79"/>
      <c r="F26" s="79"/>
      <c r="G26" s="140"/>
      <c r="H26" s="82"/>
      <c r="I26" s="140"/>
      <c r="J26" s="61"/>
    </row>
    <row r="27" spans="2:10" ht="19.5" thickBot="1" x14ac:dyDescent="0.35">
      <c r="B27" s="145" t="s">
        <v>132</v>
      </c>
      <c r="C27" s="18"/>
      <c r="D27" s="79"/>
      <c r="E27" s="79"/>
      <c r="F27" s="79"/>
      <c r="G27" s="102">
        <f>G26+G25+G23</f>
        <v>-4</v>
      </c>
      <c r="H27" s="78"/>
      <c r="I27" s="102">
        <f>I26+I23+I25</f>
        <v>12909</v>
      </c>
      <c r="J27" s="61"/>
    </row>
    <row r="28" spans="2:10" ht="17.25" thickTop="1" thickBot="1" x14ac:dyDescent="0.3">
      <c r="B28" s="146"/>
      <c r="C28" s="124"/>
      <c r="D28" s="124"/>
      <c r="E28" s="124"/>
      <c r="F28" s="124"/>
      <c r="G28" s="124"/>
      <c r="H28" s="124"/>
      <c r="I28" s="124"/>
      <c r="J28" s="147"/>
    </row>
    <row r="29" spans="2:10" ht="15.75" x14ac:dyDescent="0.25">
      <c r="B29" s="79"/>
      <c r="C29" s="79"/>
      <c r="D29" s="79"/>
      <c r="E29" s="79"/>
      <c r="F29" s="79"/>
      <c r="G29" s="79"/>
      <c r="H29" s="79"/>
      <c r="I29" s="79"/>
      <c r="J29" s="79"/>
    </row>
  </sheetData>
  <sheetProtection algorithmName="SHA-512" hashValue="A6l3Y5W+xrt8a1ojayVXL5S9b3rrKnjo481JPI98IYyJJSfSmHgJZV5szmcXNsseRq9/OLdNEm5DNxUN0eIpQQ==" saltValue="2wXlGZeIoNMoPXfRHVbkKA==" spinCount="100000" sheet="1" objects="1" scenarios="1"/>
  <hyperlinks>
    <hyperlink ref="A6" location="'תוכן עניינים'!A1" display="תוכן עניינים" xr:uid="{00000000-0004-0000-0500-000000000000}"/>
    <hyperlink ref="E12" location="'ביאורים 12-29'!B332" display="'ביאורים 12-29'!B332" xr:uid="{00000000-0004-0000-0500-000001000000}"/>
    <hyperlink ref="E15" location="'ביאורים 12-29'!B463" display="'ביאורים 12-29'!B463" xr:uid="{00000000-0004-0000-0500-000002000000}"/>
    <hyperlink ref="E16" location="'ביאורים 12-29'!B486" display="'ביאורים 12-29'!B486" xr:uid="{00000000-0004-0000-0500-000003000000}"/>
    <hyperlink ref="E19" location="'ביאורים 12-29'!B510" display="'ביאורים 12-29'!B510" xr:uid="{00000000-0004-0000-0500-000004000000}"/>
    <hyperlink ref="E22" location="'ביאורים 12-29'!B535" display="'ביאורים 12-29'!B535" xr:uid="{00000000-0004-0000-0500-000005000000}"/>
    <hyperlink ref="E25" location="'ביאורים 12-29'!B551" display="'ביאורים 12-29'!B551" xr:uid="{00000000-0004-0000-0500-000006000000}"/>
    <hyperlink ref="E11" location="'ביאורים 12-29'!B332" display="'ביאורים 12-29'!B332" xr:uid="{00000000-0004-0000-0500-000007000000}"/>
  </hyperlinks>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7"/>
  <dimension ref="A1:T35"/>
  <sheetViews>
    <sheetView showGridLines="0" rightToLeft="1" topLeftCell="A3" zoomScale="85" zoomScaleNormal="85" workbookViewId="0">
      <selection activeCell="P33" sqref="P33"/>
    </sheetView>
  </sheetViews>
  <sheetFormatPr defaultColWidth="8" defaultRowHeight="12.75" x14ac:dyDescent="0.2"/>
  <cols>
    <col min="1" max="1" width="7.75" style="14" customWidth="1"/>
    <col min="2" max="2" width="11.75" style="14" customWidth="1"/>
    <col min="3" max="4" width="8" style="14"/>
    <col min="5" max="5" width="10.625" style="14" customWidth="1"/>
    <col min="6" max="6" width="12.125" style="14" customWidth="1"/>
    <col min="7" max="7" width="1.125" style="14" customWidth="1"/>
    <col min="8" max="8" width="10.75" style="14" customWidth="1"/>
    <col min="9" max="9" width="1.125" style="14" customWidth="1"/>
    <col min="10" max="10" width="10.5" style="14" customWidth="1"/>
    <col min="11" max="11" width="1.25" style="14" customWidth="1"/>
    <col min="12" max="12" width="10.5" style="14" customWidth="1"/>
    <col min="13" max="13" width="1.125" style="14" customWidth="1"/>
    <col min="14" max="14" width="11.625" style="14" customWidth="1"/>
    <col min="15" max="15" width="1.125" style="14" customWidth="1"/>
    <col min="16" max="16" width="13" style="14" customWidth="1"/>
    <col min="17" max="17" width="12.75" style="14" customWidth="1"/>
    <col min="18" max="16384" width="8" style="14"/>
  </cols>
  <sheetData>
    <row r="1" spans="1:20" ht="24.75" customHeight="1" x14ac:dyDescent="0.5">
      <c r="A1" s="11" t="s">
        <v>776</v>
      </c>
      <c r="B1" s="5"/>
      <c r="C1" s="12">
        <f>הנחיות!C1</f>
        <v>2024</v>
      </c>
      <c r="D1" s="5"/>
      <c r="E1" s="5"/>
      <c r="F1" s="5"/>
      <c r="G1" s="5"/>
      <c r="H1" s="70"/>
      <c r="I1" s="73"/>
      <c r="J1" s="73"/>
      <c r="K1" s="153"/>
      <c r="L1" s="153"/>
      <c r="M1" s="153"/>
      <c r="N1" s="153"/>
      <c r="O1" s="153"/>
      <c r="P1" s="153"/>
      <c r="Q1" s="66"/>
    </row>
    <row r="2" spans="1:20" ht="24.75" customHeight="1" x14ac:dyDescent="0.5">
      <c r="A2" s="13" t="s">
        <v>772</v>
      </c>
      <c r="B2" s="6"/>
      <c r="C2" s="15" t="s">
        <v>785</v>
      </c>
      <c r="D2" s="6"/>
      <c r="E2" s="6"/>
      <c r="F2" s="6"/>
      <c r="G2" s="6"/>
      <c r="H2" s="72"/>
      <c r="I2" s="73"/>
      <c r="J2" s="73"/>
      <c r="K2" s="154"/>
      <c r="L2" s="154"/>
      <c r="M2" s="154"/>
      <c r="N2" s="154"/>
      <c r="O2" s="154"/>
      <c r="P2" s="154"/>
      <c r="Q2" s="69"/>
    </row>
    <row r="3" spans="1:20" ht="24.75" customHeight="1" x14ac:dyDescent="0.5">
      <c r="A3" s="7"/>
      <c r="B3" s="6"/>
      <c r="C3" s="6"/>
      <c r="D3" s="6"/>
      <c r="E3" s="6"/>
      <c r="F3" s="6"/>
      <c r="G3" s="6"/>
      <c r="H3" s="72"/>
      <c r="I3" s="73"/>
      <c r="J3" s="73"/>
      <c r="K3" s="154"/>
      <c r="L3" s="154"/>
      <c r="M3" s="154"/>
      <c r="N3" s="154"/>
      <c r="O3" s="154"/>
      <c r="P3" s="154"/>
      <c r="Q3" s="69"/>
    </row>
    <row r="4" spans="1:20" s="150" customFormat="1" ht="24.75" customHeight="1" x14ac:dyDescent="0.5">
      <c r="A4" s="169" t="s">
        <v>773</v>
      </c>
      <c r="B4" s="170"/>
      <c r="C4" s="171" t="str">
        <f>IF('פרטי התאגיד'!$G$9=0, "", 'פרטי התאגיד'!$G$9)</f>
        <v>פלגי מוצקין בע"מ</v>
      </c>
      <c r="D4" s="172"/>
      <c r="E4" s="172"/>
      <c r="F4" s="172"/>
      <c r="G4" s="172"/>
      <c r="H4" s="173"/>
      <c r="I4" s="174"/>
      <c r="J4" s="174"/>
      <c r="K4" s="175"/>
      <c r="L4" s="175"/>
      <c r="M4" s="175"/>
      <c r="N4" s="175"/>
      <c r="O4" s="175"/>
      <c r="P4" s="176"/>
      <c r="Q4" s="69"/>
      <c r="R4" s="14"/>
    </row>
    <row r="5" spans="1:20" s="150" customFormat="1" ht="24.75" customHeight="1" x14ac:dyDescent="0.45">
      <c r="A5" s="149"/>
      <c r="B5" s="52"/>
      <c r="C5" s="52"/>
      <c r="D5" s="52"/>
      <c r="E5" s="52"/>
      <c r="F5" s="52"/>
      <c r="G5" s="52"/>
      <c r="I5" s="52"/>
      <c r="J5" s="52"/>
      <c r="K5" s="52"/>
      <c r="L5" s="52"/>
      <c r="M5" s="52"/>
      <c r="N5" s="52"/>
      <c r="O5" s="52"/>
      <c r="P5" s="52"/>
      <c r="Q5" s="69"/>
      <c r="R5" s="14"/>
    </row>
    <row r="6" spans="1:20" s="150" customFormat="1" ht="24.75" customHeight="1" x14ac:dyDescent="0.35">
      <c r="A6" s="30" t="s">
        <v>1</v>
      </c>
      <c r="B6" s="155"/>
      <c r="C6" s="155"/>
      <c r="D6" s="155"/>
      <c r="E6" s="155"/>
      <c r="F6" s="155"/>
      <c r="G6" s="155"/>
      <c r="H6" s="155"/>
      <c r="I6" s="155"/>
      <c r="J6" s="155"/>
      <c r="K6" s="155"/>
      <c r="L6" s="155"/>
      <c r="M6" s="151"/>
      <c r="O6" s="14"/>
      <c r="P6" s="14"/>
      <c r="Q6" s="14"/>
      <c r="R6" s="14"/>
    </row>
    <row r="7" spans="1:20" s="150" customFormat="1" ht="24.75" customHeight="1" thickBot="1" x14ac:dyDescent="0.3">
      <c r="A7" s="152"/>
      <c r="B7" s="156"/>
      <c r="C7" s="156"/>
      <c r="D7" s="156"/>
      <c r="E7" s="156"/>
      <c r="F7" s="156"/>
      <c r="G7" s="156"/>
      <c r="H7" s="156"/>
      <c r="I7" s="156"/>
      <c r="J7" s="156"/>
      <c r="K7" s="156"/>
      <c r="L7" s="156"/>
      <c r="M7" s="68"/>
      <c r="O7" s="14"/>
      <c r="P7" s="14"/>
      <c r="Q7" s="14"/>
      <c r="R7" s="14"/>
    </row>
    <row r="8" spans="1:20" ht="10.5" customHeight="1" x14ac:dyDescent="0.2">
      <c r="A8" s="67"/>
      <c r="B8" s="182"/>
      <c r="C8" s="183"/>
      <c r="D8" s="183"/>
      <c r="E8" s="183"/>
      <c r="F8" s="183"/>
      <c r="G8" s="183"/>
      <c r="H8" s="183"/>
      <c r="I8" s="183"/>
      <c r="J8" s="183"/>
      <c r="K8" s="183"/>
      <c r="L8" s="183"/>
      <c r="M8" s="183"/>
      <c r="N8" s="183"/>
      <c r="O8" s="183"/>
      <c r="P8" s="184"/>
      <c r="T8" s="150"/>
    </row>
    <row r="9" spans="1:20" s="56" customFormat="1" ht="47.25" customHeight="1" x14ac:dyDescent="0.2">
      <c r="B9" s="185"/>
      <c r="C9" s="178"/>
      <c r="D9" s="178"/>
      <c r="E9" s="178"/>
      <c r="F9" s="179" t="s">
        <v>133</v>
      </c>
      <c r="G9" s="180"/>
      <c r="H9" s="179" t="s">
        <v>134</v>
      </c>
      <c r="I9" s="180"/>
      <c r="J9" s="180" t="s">
        <v>135</v>
      </c>
      <c r="K9" s="180"/>
      <c r="L9" s="179" t="s">
        <v>136</v>
      </c>
      <c r="M9" s="180"/>
      <c r="N9" s="179" t="s">
        <v>137</v>
      </c>
      <c r="O9" s="181"/>
      <c r="P9" s="186" t="s">
        <v>138</v>
      </c>
      <c r="T9" s="157"/>
    </row>
    <row r="10" spans="1:20" s="56" customFormat="1" ht="15.75" x14ac:dyDescent="0.25">
      <c r="B10" s="111"/>
      <c r="F10" s="78"/>
      <c r="G10" s="78"/>
      <c r="H10" s="78"/>
      <c r="I10" s="78"/>
      <c r="J10" s="78"/>
      <c r="K10" s="78"/>
      <c r="L10" s="78"/>
      <c r="M10" s="78"/>
      <c r="N10" s="78"/>
      <c r="P10" s="187"/>
      <c r="T10" s="157"/>
    </row>
    <row r="11" spans="1:20" s="158" customFormat="1" ht="15.75" x14ac:dyDescent="0.2">
      <c r="B11" s="188" t="str">
        <f>"יתרה ליום 31 בדצמבר "&amp;RIGHT('פרטי התאגיד'!G13,4)-1</f>
        <v>יתרה ליום 31 בדצמבר 2022</v>
      </c>
      <c r="F11" s="129">
        <v>360</v>
      </c>
      <c r="G11" s="117"/>
      <c r="H11" s="129">
        <v>86490</v>
      </c>
      <c r="I11" s="117"/>
      <c r="J11" s="129">
        <v>2300</v>
      </c>
      <c r="K11" s="117"/>
      <c r="L11" s="129"/>
      <c r="M11" s="117"/>
      <c r="N11" s="129">
        <v>7126</v>
      </c>
      <c r="P11" s="189">
        <f>SUM(N11,L11,J11,H11,F11)</f>
        <v>96276</v>
      </c>
      <c r="T11" s="159"/>
    </row>
    <row r="12" spans="1:20" s="158" customFormat="1" ht="15.75" x14ac:dyDescent="0.2">
      <c r="B12" s="188"/>
      <c r="F12" s="117"/>
      <c r="G12" s="117"/>
      <c r="H12" s="117"/>
      <c r="I12" s="117"/>
      <c r="J12" s="117"/>
      <c r="K12" s="117"/>
      <c r="L12" s="117"/>
      <c r="M12" s="117"/>
      <c r="N12" s="117"/>
      <c r="P12" s="190"/>
      <c r="T12" s="159"/>
    </row>
    <row r="13" spans="1:20" s="158" customFormat="1" ht="15.75" x14ac:dyDescent="0.2">
      <c r="B13" s="744" t="s">
        <v>139</v>
      </c>
      <c r="C13" s="745"/>
      <c r="D13" s="745"/>
      <c r="F13" s="129"/>
      <c r="G13" s="160"/>
      <c r="H13" s="129"/>
      <c r="I13" s="160"/>
      <c r="J13" s="129"/>
      <c r="K13" s="160"/>
      <c r="L13" s="129"/>
      <c r="M13" s="160"/>
      <c r="N13" s="129"/>
      <c r="O13" s="161"/>
      <c r="P13" s="189">
        <f>SUM(N13,L13,J13,H13,F13)</f>
        <v>0</v>
      </c>
      <c r="T13" s="159"/>
    </row>
    <row r="14" spans="1:20" s="158" customFormat="1" ht="15.75" x14ac:dyDescent="0.2">
      <c r="B14" s="188"/>
      <c r="F14" s="117"/>
      <c r="G14" s="117"/>
      <c r="H14" s="117"/>
      <c r="I14" s="117"/>
      <c r="J14" s="117"/>
      <c r="K14" s="117"/>
      <c r="L14" s="117"/>
      <c r="M14" s="117"/>
      <c r="N14" s="117"/>
      <c r="P14" s="190"/>
      <c r="T14" s="159"/>
    </row>
    <row r="15" spans="1:20" s="158" customFormat="1" ht="15.75" x14ac:dyDescent="0.25">
      <c r="B15" s="191" t="str">
        <f>"לאחר תיקון טעות יתרה ליום 31 בדצמבר  "&amp;RIGHT('פרטי התאגיד'!G13,4)-1</f>
        <v>לאחר תיקון טעות יתרה ליום 31 בדצמבר  2022</v>
      </c>
      <c r="F15" s="163">
        <f>F11+F13</f>
        <v>360</v>
      </c>
      <c r="G15" s="162"/>
      <c r="H15" s="163">
        <f>H11+H13</f>
        <v>86490</v>
      </c>
      <c r="I15" s="162"/>
      <c r="J15" s="163">
        <f>J11+J13</f>
        <v>2300</v>
      </c>
      <c r="K15" s="162"/>
      <c r="L15" s="163">
        <f>L11+L13</f>
        <v>0</v>
      </c>
      <c r="M15" s="117"/>
      <c r="N15" s="163">
        <f>N11+N13</f>
        <v>7126</v>
      </c>
      <c r="P15" s="192">
        <f>P11+P13</f>
        <v>96276</v>
      </c>
    </row>
    <row r="16" spans="1:20" s="158" customFormat="1" ht="15.75" x14ac:dyDescent="0.2">
      <c r="B16" s="188"/>
      <c r="F16" s="117"/>
      <c r="G16" s="117"/>
      <c r="H16" s="117"/>
      <c r="I16" s="117"/>
      <c r="J16" s="117"/>
      <c r="K16" s="117"/>
      <c r="L16" s="117"/>
      <c r="M16" s="117"/>
      <c r="N16" s="117"/>
      <c r="P16" s="190"/>
    </row>
    <row r="17" spans="2:16" s="158" customFormat="1" ht="15.75" x14ac:dyDescent="0.2">
      <c r="B17" s="744" t="s">
        <v>140</v>
      </c>
      <c r="C17" s="745"/>
      <c r="D17" s="745"/>
      <c r="F17" s="129"/>
      <c r="G17" s="160"/>
      <c r="H17" s="129"/>
      <c r="I17" s="160"/>
      <c r="J17" s="129"/>
      <c r="K17" s="160"/>
      <c r="L17" s="129"/>
      <c r="M17" s="160"/>
      <c r="N17" s="129"/>
      <c r="O17" s="161"/>
      <c r="P17" s="193">
        <f>SUM(N17,L17,J17,H17,F17)</f>
        <v>0</v>
      </c>
    </row>
    <row r="18" spans="2:16" s="158" customFormat="1" ht="15.75" x14ac:dyDescent="0.2">
      <c r="B18" s="188"/>
      <c r="F18" s="117"/>
      <c r="G18" s="117"/>
      <c r="H18" s="117"/>
      <c r="I18" s="117"/>
      <c r="J18" s="117"/>
      <c r="K18" s="117"/>
      <c r="L18" s="117"/>
      <c r="M18" s="117"/>
      <c r="N18" s="117"/>
      <c r="P18" s="190"/>
    </row>
    <row r="19" spans="2:16" s="158" customFormat="1" ht="15.75" x14ac:dyDescent="0.2">
      <c r="B19" s="194" t="str">
        <f>" רווח" &amp;" (הפסד) " &amp; IF(LEN('פרטי התאגיד'!G13)&gt;4," לתקופה "&amp; MID('פרטי התאגיד'!G13,4,2)&amp;  "-12/" &amp;RIGHT('פרטי התאגיד'!G13,4),'פרטי התאגיד'!G13)</f>
        <v xml:space="preserve"> רווח (הפסד) 2023</v>
      </c>
      <c r="F19" s="129"/>
      <c r="G19" s="160"/>
      <c r="H19" s="129"/>
      <c r="I19" s="160"/>
      <c r="J19" s="129"/>
      <c r="K19" s="160"/>
      <c r="L19" s="129"/>
      <c r="M19" s="117"/>
      <c r="N19" s="160">
        <f>+'רו"ה'!I27</f>
        <v>12909</v>
      </c>
      <c r="P19" s="193">
        <f>SUM(N19,L19,J19,H19,F19)</f>
        <v>12909</v>
      </c>
    </row>
    <row r="20" spans="2:16" s="158" customFormat="1" ht="15.75" x14ac:dyDescent="0.2">
      <c r="B20" s="188"/>
      <c r="F20" s="117"/>
      <c r="G20" s="117"/>
      <c r="H20" s="117"/>
      <c r="I20" s="117"/>
      <c r="J20" s="117"/>
      <c r="K20" s="117"/>
      <c r="L20" s="117"/>
      <c r="M20" s="117"/>
      <c r="N20" s="117"/>
      <c r="P20" s="190"/>
    </row>
    <row r="21" spans="2:16" s="158" customFormat="1" ht="15.75" x14ac:dyDescent="0.2">
      <c r="B21" s="194" t="s">
        <v>141</v>
      </c>
      <c r="F21" s="129"/>
      <c r="G21" s="160"/>
      <c r="H21" s="129"/>
      <c r="I21" s="160"/>
      <c r="J21" s="129"/>
      <c r="K21" s="160"/>
      <c r="L21" s="129"/>
      <c r="M21" s="117"/>
      <c r="N21" s="129"/>
      <c r="P21" s="193">
        <f>SUM(N21,L21,J21,H21,F21)</f>
        <v>0</v>
      </c>
    </row>
    <row r="22" spans="2:16" s="158" customFormat="1" ht="15.75" x14ac:dyDescent="0.2">
      <c r="B22" s="188"/>
      <c r="F22" s="117"/>
      <c r="G22" s="117"/>
      <c r="H22" s="117"/>
      <c r="I22" s="117"/>
      <c r="J22" s="117"/>
      <c r="K22" s="117"/>
      <c r="L22" s="117"/>
      <c r="M22" s="117"/>
      <c r="N22" s="117"/>
      <c r="P22" s="190"/>
    </row>
    <row r="23" spans="2:16" s="158" customFormat="1" ht="15.75" x14ac:dyDescent="0.2">
      <c r="B23" s="195" t="s">
        <v>142</v>
      </c>
      <c r="F23" s="129"/>
      <c r="G23" s="160"/>
      <c r="H23" s="129"/>
      <c r="I23" s="160"/>
      <c r="J23" s="129"/>
      <c r="K23" s="160"/>
      <c r="L23" s="129"/>
      <c r="M23" s="117"/>
      <c r="N23" s="129"/>
      <c r="P23" s="196">
        <f>SUM(N23,L23,J23,H23,F23)</f>
        <v>0</v>
      </c>
    </row>
    <row r="24" spans="2:16" s="158" customFormat="1" ht="15.75" x14ac:dyDescent="0.25">
      <c r="B24" s="191" t="str">
        <f>"יתרה ליום 31 בדצמבר "&amp;RIGHT('פרטי התאגיד'!G13,4)</f>
        <v>יתרה ליום 31 בדצמבר 2023</v>
      </c>
      <c r="F24" s="163">
        <f>F15+F17+F19+F23+F21</f>
        <v>360</v>
      </c>
      <c r="G24" s="162"/>
      <c r="H24" s="163">
        <f>H15+H17+H19+H23+H21</f>
        <v>86490</v>
      </c>
      <c r="I24" s="162"/>
      <c r="J24" s="163">
        <f>J15+J17+J19+J23+J21</f>
        <v>2300</v>
      </c>
      <c r="K24" s="162"/>
      <c r="L24" s="163">
        <f>L15+L17+L19+L23+L21</f>
        <v>0</v>
      </c>
      <c r="M24" s="117"/>
      <c r="N24" s="163">
        <f>N15+N17+N19+N23+N21</f>
        <v>20035</v>
      </c>
      <c r="P24" s="192">
        <f>P15+P17+P19+P23+P21</f>
        <v>109185</v>
      </c>
    </row>
    <row r="25" spans="2:16" s="158" customFormat="1" ht="15.75" x14ac:dyDescent="0.2">
      <c r="B25" s="188"/>
      <c r="F25" s="117"/>
      <c r="G25" s="117"/>
      <c r="H25" s="117"/>
      <c r="I25" s="117"/>
      <c r="J25" s="117"/>
      <c r="K25" s="117"/>
      <c r="L25" s="117"/>
      <c r="M25" s="117"/>
      <c r="N25" s="117"/>
      <c r="P25" s="190"/>
    </row>
    <row r="26" spans="2:16" s="158" customFormat="1" ht="15.75" x14ac:dyDescent="0.2">
      <c r="B26" s="744" t="s">
        <v>140</v>
      </c>
      <c r="C26" s="745"/>
      <c r="D26" s="745"/>
      <c r="F26" s="129"/>
      <c r="G26" s="160"/>
      <c r="H26" s="129"/>
      <c r="I26" s="160"/>
      <c r="J26" s="129"/>
      <c r="K26" s="160"/>
      <c r="L26" s="129"/>
      <c r="M26" s="117"/>
      <c r="N26" s="129"/>
      <c r="O26" s="161"/>
      <c r="P26" s="193">
        <f>SUM(N26,L26,J26,H26,F26)</f>
        <v>0</v>
      </c>
    </row>
    <row r="27" spans="2:16" s="158" customFormat="1" ht="15.75" x14ac:dyDescent="0.2">
      <c r="B27" s="188"/>
      <c r="F27" s="160"/>
      <c r="G27" s="160"/>
      <c r="H27" s="160"/>
      <c r="I27" s="160"/>
      <c r="J27" s="160"/>
      <c r="K27" s="160"/>
      <c r="L27" s="160"/>
      <c r="M27" s="117"/>
      <c r="N27" s="117"/>
      <c r="P27" s="190"/>
    </row>
    <row r="28" spans="2:16" s="158" customFormat="1" ht="15.75" x14ac:dyDescent="0.2">
      <c r="B28" s="194" t="str">
        <f>"רווח (הפסד) " &amp; IF(LEN('פרטי התאגיד'!G11)&gt;4," לתקופה "&amp; MID('פרטי התאגיד'!G11,4,2)&amp;  "-12/" &amp;RIGHT('פרטי התאגיד'!G11,4),'פרטי התאגיד'!G11)</f>
        <v>רווח (הפסד) 2024</v>
      </c>
      <c r="F28" s="129"/>
      <c r="G28" s="160"/>
      <c r="H28" s="129"/>
      <c r="I28" s="160"/>
      <c r="J28" s="129"/>
      <c r="K28" s="160"/>
      <c r="L28" s="129"/>
      <c r="M28" s="117"/>
      <c r="N28" s="160">
        <f>+'רו"ה'!G27</f>
        <v>-4</v>
      </c>
      <c r="P28" s="193">
        <f>SUM(N28,L28,J28,H28,F28)</f>
        <v>-4</v>
      </c>
    </row>
    <row r="29" spans="2:16" s="158" customFormat="1" ht="15.75" x14ac:dyDescent="0.2">
      <c r="B29" s="188"/>
      <c r="F29" s="117"/>
      <c r="G29" s="117"/>
      <c r="H29" s="117"/>
      <c r="I29" s="117"/>
      <c r="J29" s="117"/>
      <c r="K29" s="117"/>
      <c r="L29" s="117"/>
      <c r="M29" s="117"/>
      <c r="N29" s="117"/>
      <c r="P29" s="190"/>
    </row>
    <row r="30" spans="2:16" s="158" customFormat="1" ht="15.75" x14ac:dyDescent="0.2">
      <c r="B30" s="194" t="s">
        <v>141</v>
      </c>
      <c r="F30" s="129"/>
      <c r="G30" s="160"/>
      <c r="H30" s="129"/>
      <c r="I30" s="160"/>
      <c r="J30" s="129"/>
      <c r="K30" s="160"/>
      <c r="L30" s="129"/>
      <c r="M30" s="117"/>
      <c r="N30" s="129"/>
      <c r="P30" s="193">
        <f>SUM(N30,L30,J30,H30,F30)</f>
        <v>0</v>
      </c>
    </row>
    <row r="31" spans="2:16" s="158" customFormat="1" ht="15.75" x14ac:dyDescent="0.2">
      <c r="B31" s="188"/>
      <c r="F31" s="117"/>
      <c r="G31" s="117"/>
      <c r="H31" s="117"/>
      <c r="I31" s="117"/>
      <c r="J31" s="117"/>
      <c r="K31" s="117"/>
      <c r="L31" s="117"/>
      <c r="M31" s="117"/>
      <c r="N31" s="117"/>
      <c r="P31" s="190"/>
    </row>
    <row r="32" spans="2:16" s="158" customFormat="1" ht="15.75" x14ac:dyDescent="0.2">
      <c r="B32" s="195" t="s">
        <v>142</v>
      </c>
      <c r="F32" s="129"/>
      <c r="G32" s="160"/>
      <c r="H32" s="129"/>
      <c r="I32" s="160"/>
      <c r="J32" s="129"/>
      <c r="K32" s="160"/>
      <c r="L32" s="129"/>
      <c r="M32" s="117"/>
      <c r="N32" s="129"/>
      <c r="P32" s="196">
        <f>SUM(N32,L32,J32,H32,F32)</f>
        <v>0</v>
      </c>
    </row>
    <row r="33" spans="2:17" s="158" customFormat="1" ht="15.75" x14ac:dyDescent="0.25">
      <c r="B33" s="191" t="str">
        <f>"יתרה ליום 31 בדצמבר "&amp;RIGHT('פרטי התאגיד'!G11,4)</f>
        <v>יתרה ליום 31 בדצמבר 2024</v>
      </c>
      <c r="F33" s="164">
        <f>F24+F26+F28+F32+F30</f>
        <v>360</v>
      </c>
      <c r="G33" s="162"/>
      <c r="H33" s="164">
        <f>H24+H26+H28+H32+H30</f>
        <v>86490</v>
      </c>
      <c r="I33" s="162"/>
      <c r="J33" s="164">
        <f>J24+J26+J28+J32+J30</f>
        <v>2300</v>
      </c>
      <c r="K33" s="162"/>
      <c r="L33" s="164">
        <f>L24+L26+L28+L32+L30</f>
        <v>0</v>
      </c>
      <c r="M33" s="117"/>
      <c r="N33" s="164">
        <f>N24+N26+N28+N32+N30</f>
        <v>20031</v>
      </c>
      <c r="P33" s="197">
        <f>+P24+P26+P28+P32+P30</f>
        <v>109181</v>
      </c>
    </row>
    <row r="34" spans="2:17" ht="16.5" thickBot="1" x14ac:dyDescent="0.3">
      <c r="B34" s="198"/>
      <c r="C34" s="199"/>
      <c r="D34" s="199"/>
      <c r="E34" s="199"/>
      <c r="F34" s="199"/>
      <c r="G34" s="199"/>
      <c r="H34" s="199"/>
      <c r="I34" s="199"/>
      <c r="J34" s="199"/>
      <c r="K34" s="199"/>
      <c r="L34" s="199"/>
      <c r="M34" s="199"/>
      <c r="N34" s="199"/>
      <c r="O34" s="199"/>
      <c r="P34" s="200"/>
      <c r="Q34" s="158"/>
    </row>
    <row r="35" spans="2:17" ht="15.75" x14ac:dyDescent="0.25">
      <c r="B35" s="168"/>
      <c r="Q35" s="158"/>
    </row>
  </sheetData>
  <sheetProtection algorithmName="SHA-512" hashValue="r93Dtz1mT6ofdK6d6m1IdvAEV1wrK/pHhMFNTaYIC5sqkVpxKUJspW/La5nSTuHjUU7IfBRg1IpJu3qUyLPDpw==" saltValue="oqOupMZtr13lctxg3IN8RA==" spinCount="100000" sheet="1" objects="1" scenarios="1"/>
  <mergeCells count="3">
    <mergeCell ref="B13:D13"/>
    <mergeCell ref="B17:D17"/>
    <mergeCell ref="B26:D26"/>
  </mergeCells>
  <hyperlinks>
    <hyperlink ref="A6" location="'תוכן עניינים'!A1" display="תוכן עניינים"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8"/>
  <dimension ref="A1:L72"/>
  <sheetViews>
    <sheetView showGridLines="0" rightToLeft="1" topLeftCell="A29" zoomScale="85" zoomScaleNormal="85" workbookViewId="0">
      <selection activeCell="O42" sqref="O42"/>
    </sheetView>
  </sheetViews>
  <sheetFormatPr defaultColWidth="8" defaultRowHeight="12.75" x14ac:dyDescent="0.2"/>
  <cols>
    <col min="1" max="1" width="8" style="157"/>
    <col min="2" max="2" width="9.375" style="157" customWidth="1"/>
    <col min="3" max="4" width="8" style="157"/>
    <col min="5" max="5" width="10.5" style="157" customWidth="1"/>
    <col min="6" max="6" width="10.875" style="157" customWidth="1"/>
    <col min="7" max="7" width="13" style="157" customWidth="1"/>
    <col min="8" max="8" width="2.5" style="157" customWidth="1"/>
    <col min="9" max="9" width="13" style="157" customWidth="1"/>
    <col min="10" max="15" width="8" style="157"/>
    <col min="16" max="16" width="12.75" style="157" customWidth="1"/>
    <col min="17" max="16384" width="8" style="157"/>
  </cols>
  <sheetData>
    <row r="1" spans="1:12" ht="25.15" customHeight="1" x14ac:dyDescent="0.5">
      <c r="A1" s="11" t="s">
        <v>776</v>
      </c>
      <c r="B1" s="5"/>
      <c r="C1" s="12">
        <f>הנחיות!C1</f>
        <v>2024</v>
      </c>
      <c r="D1" s="5"/>
      <c r="E1" s="5"/>
      <c r="F1" s="5"/>
      <c r="G1" s="5"/>
      <c r="H1" s="70"/>
      <c r="I1" s="73"/>
      <c r="J1" s="73"/>
      <c r="K1" s="5"/>
      <c r="L1" s="5"/>
    </row>
    <row r="2" spans="1:12" ht="21" customHeight="1" x14ac:dyDescent="0.5">
      <c r="A2" s="13" t="s">
        <v>772</v>
      </c>
      <c r="B2" s="6"/>
      <c r="C2" s="15" t="s">
        <v>786</v>
      </c>
      <c r="D2" s="6"/>
      <c r="E2" s="6"/>
      <c r="F2" s="6"/>
      <c r="G2" s="6"/>
      <c r="H2" s="72"/>
      <c r="I2" s="73"/>
      <c r="J2" s="73"/>
      <c r="K2" s="6"/>
      <c r="L2" s="6"/>
    </row>
    <row r="3" spans="1:12" ht="13.5" customHeight="1" x14ac:dyDescent="0.5">
      <c r="A3" s="7"/>
      <c r="B3" s="6"/>
      <c r="C3" s="6"/>
      <c r="D3" s="6"/>
      <c r="E3" s="6"/>
      <c r="F3" s="6"/>
      <c r="G3" s="6"/>
      <c r="H3" s="72"/>
      <c r="I3" s="73"/>
      <c r="J3" s="73"/>
      <c r="K3" s="6"/>
      <c r="L3" s="6"/>
    </row>
    <row r="4" spans="1:12" ht="24" customHeight="1" x14ac:dyDescent="0.5">
      <c r="A4" s="169" t="s">
        <v>773</v>
      </c>
      <c r="B4" s="170"/>
      <c r="C4" s="171" t="str">
        <f>IF('פרטי התאגיד'!$G$9=0, "", 'פרטי התאגיד'!$G$9)</f>
        <v>פלגי מוצקין בע"מ</v>
      </c>
      <c r="D4" s="172"/>
      <c r="E4" s="172"/>
      <c r="F4" s="172"/>
      <c r="G4" s="172"/>
      <c r="H4" s="173"/>
      <c r="I4" s="174"/>
      <c r="J4" s="174"/>
      <c r="K4" s="172"/>
      <c r="L4" s="201"/>
    </row>
    <row r="5" spans="1:12" ht="16.5" customHeight="1" x14ac:dyDescent="0.5">
      <c r="A5" s="202"/>
      <c r="B5" s="53"/>
      <c r="C5" s="53"/>
      <c r="D5" s="53"/>
      <c r="E5" s="53"/>
      <c r="F5" s="203"/>
      <c r="G5" s="53"/>
      <c r="H5" s="53"/>
      <c r="I5" s="53"/>
      <c r="J5" s="53"/>
      <c r="K5" s="53"/>
      <c r="L5" s="71"/>
    </row>
    <row r="6" spans="1:12" ht="26.25" customHeight="1" x14ac:dyDescent="0.35">
      <c r="A6" s="30" t="s">
        <v>1</v>
      </c>
      <c r="B6" s="141"/>
      <c r="C6" s="141"/>
      <c r="D6" s="141"/>
      <c r="E6" s="141"/>
      <c r="F6" s="141"/>
      <c r="G6" s="141"/>
      <c r="H6" s="141"/>
      <c r="I6" s="141"/>
      <c r="J6" s="141"/>
      <c r="K6" s="141"/>
      <c r="L6" s="141"/>
    </row>
    <row r="7" spans="1:12" s="208" customFormat="1" ht="18.600000000000001" customHeight="1" x14ac:dyDescent="0.35">
      <c r="A7" s="30" t="s">
        <v>143</v>
      </c>
      <c r="B7" s="141"/>
      <c r="C7" s="141"/>
      <c r="D7" s="141"/>
      <c r="F7" s="141"/>
      <c r="G7" s="141"/>
      <c r="H7" s="141"/>
      <c r="I7" s="141"/>
    </row>
    <row r="8" spans="1:12" s="208" customFormat="1" ht="18.600000000000001" customHeight="1" thickBot="1" x14ac:dyDescent="0.4">
      <c r="A8" s="30" t="s">
        <v>144</v>
      </c>
      <c r="B8" s="141"/>
      <c r="C8" s="141"/>
      <c r="D8" s="141"/>
      <c r="F8" s="141"/>
      <c r="G8" s="141"/>
      <c r="H8" s="141"/>
      <c r="I8" s="141"/>
    </row>
    <row r="9" spans="1:12" x14ac:dyDescent="0.2">
      <c r="A9" s="204"/>
      <c r="B9" s="223"/>
      <c r="C9" s="224"/>
      <c r="D9" s="224"/>
      <c r="E9" s="224"/>
      <c r="F9" s="224"/>
      <c r="G9" s="224"/>
      <c r="H9" s="224"/>
      <c r="I9" s="224"/>
      <c r="J9" s="225"/>
      <c r="K9" s="224"/>
      <c r="L9" s="226"/>
    </row>
    <row r="10" spans="1:12" ht="15.75" x14ac:dyDescent="0.25">
      <c r="A10" s="204"/>
      <c r="B10" s="227"/>
      <c r="C10" s="99"/>
      <c r="D10" s="99"/>
      <c r="E10" s="99"/>
      <c r="F10" s="99"/>
      <c r="G10" s="99">
        <f>IF('פרטי התאגיד'!G11="","",IF(LEN('פרטי התאגיד'!$G$11)&gt;4,MID('פרטי התאגיד'!$G$11,4,2)&amp;"-12/"&amp;MID('פרטי התאגיד'!$G$11,7,4),IF(LEN(I10)&gt;4,"1-12/"&amp;'פרטי התאגיד'!$G$11,'פרטי התאגיד'!$G$11)))</f>
        <v>2024</v>
      </c>
      <c r="H10" s="99"/>
      <c r="I10" s="99">
        <f>IF('פרטי התאגיד'!G13="","",IF(LEN('פרטי התאגיד'!$G$13)=4,'פרטי התאגיד'!$G$13,MID('פרטי התאגיד'!$G$13,4,2)&amp;"-12/"&amp;MID('פרטי התאגיד'!$G$13,7,4)))</f>
        <v>2023</v>
      </c>
      <c r="J10" s="99"/>
      <c r="L10" s="228"/>
    </row>
    <row r="11" spans="1:12" ht="15.75" x14ac:dyDescent="0.25">
      <c r="B11" s="229"/>
      <c r="C11" s="18"/>
      <c r="D11" s="18"/>
      <c r="E11" s="18"/>
      <c r="F11" s="18"/>
      <c r="G11" s="18"/>
      <c r="H11" s="18"/>
      <c r="I11" s="18"/>
      <c r="L11" s="228"/>
    </row>
    <row r="12" spans="1:12" ht="18.75" x14ac:dyDescent="0.3">
      <c r="B12" s="230" t="s">
        <v>145</v>
      </c>
      <c r="C12" s="18"/>
      <c r="D12" s="18"/>
      <c r="E12" s="18"/>
      <c r="F12" s="18"/>
      <c r="G12" s="18"/>
      <c r="H12" s="18"/>
      <c r="I12" s="18"/>
      <c r="L12" s="228"/>
    </row>
    <row r="13" spans="1:12" ht="15.75" x14ac:dyDescent="0.25">
      <c r="B13" s="229"/>
      <c r="C13" s="18"/>
      <c r="D13" s="18"/>
      <c r="E13" s="18"/>
      <c r="F13" s="18"/>
      <c r="G13" s="18"/>
      <c r="H13" s="18"/>
      <c r="I13" s="18"/>
      <c r="J13" s="18"/>
      <c r="K13" s="18"/>
      <c r="L13" s="228"/>
    </row>
    <row r="14" spans="1:12" ht="15.75" x14ac:dyDescent="0.25">
      <c r="B14" s="229" t="s">
        <v>146</v>
      </c>
      <c r="C14" s="18"/>
      <c r="D14" s="18"/>
      <c r="E14" s="18"/>
      <c r="F14" s="18"/>
      <c r="G14" s="205">
        <f>+'רו"ה'!G27</f>
        <v>-4</v>
      </c>
      <c r="H14" s="82"/>
      <c r="I14" s="205">
        <f>+'רו"ה'!I27</f>
        <v>12909</v>
      </c>
      <c r="J14" s="18"/>
      <c r="K14" s="18"/>
      <c r="L14" s="228"/>
    </row>
    <row r="15" spans="1:12" ht="15.75" x14ac:dyDescent="0.25">
      <c r="B15" s="229" t="s">
        <v>147</v>
      </c>
      <c r="C15" s="18"/>
      <c r="D15" s="18"/>
      <c r="E15" s="18"/>
      <c r="F15" s="18"/>
      <c r="G15" s="18"/>
      <c r="H15" s="18"/>
      <c r="I15" s="18"/>
      <c r="J15" s="18"/>
      <c r="K15" s="18"/>
      <c r="L15" s="228"/>
    </row>
    <row r="16" spans="1:12" ht="15.75" x14ac:dyDescent="0.25">
      <c r="B16" s="229" t="s">
        <v>148</v>
      </c>
      <c r="C16" s="18"/>
      <c r="D16" s="18"/>
      <c r="E16" s="18"/>
      <c r="F16" s="18"/>
      <c r="G16" s="206">
        <f>'נספח א'!H42</f>
        <v>-3545</v>
      </c>
      <c r="H16" s="82"/>
      <c r="I16" s="206">
        <f>'נספח א'!J42</f>
        <v>9106</v>
      </c>
      <c r="J16" s="18"/>
      <c r="K16" s="18"/>
      <c r="L16" s="228"/>
    </row>
    <row r="17" spans="2:12" ht="15.75" x14ac:dyDescent="0.25">
      <c r="B17" s="317" t="s">
        <v>149</v>
      </c>
      <c r="C17" s="18"/>
      <c r="D17" s="18"/>
      <c r="E17" s="18"/>
      <c r="F17" s="18"/>
      <c r="G17" s="163">
        <f>G14+G16</f>
        <v>-3549</v>
      </c>
      <c r="H17" s="78"/>
      <c r="I17" s="163">
        <f>I14+I16</f>
        <v>22015</v>
      </c>
      <c r="J17" s="18"/>
      <c r="K17" s="18"/>
      <c r="L17" s="228"/>
    </row>
    <row r="18" spans="2:12" ht="15.75" x14ac:dyDescent="0.25">
      <c r="B18" s="229"/>
      <c r="C18" s="18"/>
      <c r="D18" s="18"/>
      <c r="E18" s="18"/>
      <c r="F18" s="18"/>
      <c r="G18" s="18"/>
      <c r="H18" s="18"/>
      <c r="I18" s="18"/>
      <c r="J18" s="18"/>
      <c r="K18" s="18"/>
      <c r="L18" s="228"/>
    </row>
    <row r="19" spans="2:12" ht="18.75" x14ac:dyDescent="0.3">
      <c r="B19" s="230" t="s">
        <v>150</v>
      </c>
      <c r="C19" s="18"/>
      <c r="D19" s="18"/>
      <c r="E19" s="18"/>
      <c r="F19" s="18"/>
      <c r="G19" s="18"/>
      <c r="H19" s="18"/>
      <c r="I19" s="18"/>
      <c r="L19" s="228"/>
    </row>
    <row r="20" spans="2:12" ht="15.75" x14ac:dyDescent="0.25">
      <c r="B20" s="229"/>
      <c r="C20" s="18"/>
      <c r="D20" s="18"/>
      <c r="E20" s="18"/>
      <c r="F20" s="18"/>
      <c r="G20" s="18"/>
      <c r="H20" s="18"/>
      <c r="I20" s="18"/>
      <c r="L20" s="228"/>
    </row>
    <row r="21" spans="2:12" ht="15.75" x14ac:dyDescent="0.25">
      <c r="B21" s="229" t="s">
        <v>151</v>
      </c>
      <c r="C21" s="18"/>
      <c r="D21" s="18"/>
      <c r="E21" s="18"/>
      <c r="F21" s="18"/>
      <c r="G21" s="18"/>
      <c r="H21" s="18"/>
      <c r="I21" s="18"/>
      <c r="J21" s="18"/>
      <c r="K21" s="18"/>
      <c r="L21" s="231"/>
    </row>
    <row r="22" spans="2:12" ht="15.75" x14ac:dyDescent="0.25">
      <c r="B22" s="746" t="s">
        <v>152</v>
      </c>
      <c r="C22" s="747"/>
      <c r="D22" s="747"/>
      <c r="E22" s="18"/>
      <c r="F22" s="18"/>
      <c r="G22" s="536">
        <v>-5457</v>
      </c>
      <c r="H22" s="82"/>
      <c r="I22" s="536">
        <v>-2128</v>
      </c>
      <c r="J22" s="18"/>
      <c r="K22" s="18"/>
      <c r="L22" s="231"/>
    </row>
    <row r="23" spans="2:12" ht="15.75" x14ac:dyDescent="0.25">
      <c r="B23" s="746" t="s">
        <v>153</v>
      </c>
      <c r="C23" s="747"/>
      <c r="D23" s="747"/>
      <c r="E23" s="18"/>
      <c r="F23" s="18"/>
      <c r="G23" s="536">
        <f>-315</f>
        <v>-315</v>
      </c>
      <c r="H23" s="82"/>
      <c r="I23" s="536">
        <f>-14966-36</f>
        <v>-15002</v>
      </c>
      <c r="J23" s="18"/>
      <c r="K23" s="18"/>
      <c r="L23" s="231"/>
    </row>
    <row r="24" spans="2:12" ht="15.75" x14ac:dyDescent="0.25">
      <c r="B24" s="232"/>
      <c r="C24" s="82" t="s">
        <v>154</v>
      </c>
      <c r="D24" s="82"/>
      <c r="E24" s="18"/>
      <c r="F24" s="18"/>
      <c r="G24" s="536"/>
      <c r="H24" s="82"/>
      <c r="I24" s="536"/>
      <c r="J24" s="18"/>
      <c r="K24" s="18"/>
      <c r="L24" s="231"/>
    </row>
    <row r="25" spans="2:12" ht="15.75" x14ac:dyDescent="0.25">
      <c r="B25" s="229" t="s">
        <v>155</v>
      </c>
      <c r="C25" s="18"/>
      <c r="D25" s="18"/>
      <c r="E25" s="18"/>
      <c r="F25" s="18"/>
      <c r="G25" s="18"/>
      <c r="H25" s="18"/>
      <c r="I25" s="18"/>
      <c r="J25" s="18"/>
      <c r="K25" s="18"/>
      <c r="L25" s="231"/>
    </row>
    <row r="26" spans="2:12" ht="15.75" x14ac:dyDescent="0.25">
      <c r="B26" s="746" t="s">
        <v>156</v>
      </c>
      <c r="C26" s="747"/>
      <c r="D26" s="747"/>
      <c r="E26" s="18"/>
      <c r="F26" s="18"/>
      <c r="G26" s="536">
        <v>-3703</v>
      </c>
      <c r="H26" s="82"/>
      <c r="I26" s="536">
        <f>-13602-76</f>
        <v>-13678</v>
      </c>
      <c r="J26" s="18"/>
      <c r="K26" s="18"/>
      <c r="L26" s="231"/>
    </row>
    <row r="27" spans="2:12" ht="15.75" x14ac:dyDescent="0.25">
      <c r="B27" s="746" t="s">
        <v>153</v>
      </c>
      <c r="C27" s="747"/>
      <c r="D27" s="747"/>
      <c r="E27" s="18"/>
      <c r="F27" s="18"/>
      <c r="G27" s="536">
        <f>-17270+1</f>
        <v>-17269</v>
      </c>
      <c r="H27" s="82"/>
      <c r="I27" s="536">
        <f>-10349-170</f>
        <v>-10519</v>
      </c>
      <c r="J27" s="18"/>
      <c r="K27" s="18"/>
      <c r="L27" s="231"/>
    </row>
    <row r="28" spans="2:12" ht="15.75" x14ac:dyDescent="0.25">
      <c r="B28" s="232"/>
      <c r="C28" s="82" t="s">
        <v>154</v>
      </c>
      <c r="D28" s="82"/>
      <c r="E28" s="18"/>
      <c r="F28" s="18"/>
      <c r="G28" s="536">
        <v>-20</v>
      </c>
      <c r="H28" s="82"/>
      <c r="I28" s="536">
        <v>-235</v>
      </c>
      <c r="J28" s="18"/>
      <c r="K28" s="18"/>
      <c r="L28" s="231"/>
    </row>
    <row r="29" spans="2:12" ht="15.75" x14ac:dyDescent="0.25">
      <c r="B29" s="229" t="s">
        <v>157</v>
      </c>
      <c r="C29" s="18"/>
      <c r="D29" s="18"/>
      <c r="E29" s="18"/>
      <c r="F29" s="18"/>
      <c r="G29" s="536">
        <v>-47</v>
      </c>
      <c r="H29" s="82"/>
      <c r="I29" s="536">
        <v>-14</v>
      </c>
      <c r="J29" s="18"/>
      <c r="K29" s="18"/>
      <c r="L29" s="231"/>
    </row>
    <row r="30" spans="2:12" ht="15.75" x14ac:dyDescent="0.25">
      <c r="B30" s="229" t="s">
        <v>158</v>
      </c>
      <c r="C30" s="18"/>
      <c r="D30" s="18"/>
      <c r="E30" s="18"/>
      <c r="F30" s="18"/>
      <c r="G30" s="536">
        <v>-21</v>
      </c>
      <c r="H30" s="82"/>
      <c r="I30" s="536"/>
      <c r="J30" s="18"/>
      <c r="K30" s="18"/>
      <c r="L30" s="231"/>
    </row>
    <row r="31" spans="2:12" ht="15.75" x14ac:dyDescent="0.25">
      <c r="B31" s="229" t="s">
        <v>159</v>
      </c>
      <c r="C31" s="82"/>
      <c r="D31" s="82"/>
      <c r="E31" s="18"/>
      <c r="F31" s="18"/>
      <c r="G31" s="536"/>
      <c r="H31" s="82"/>
      <c r="I31" s="536"/>
      <c r="J31" s="18"/>
      <c r="K31" s="18"/>
      <c r="L31" s="231"/>
    </row>
    <row r="32" spans="2:12" ht="15.75" x14ac:dyDescent="0.25">
      <c r="B32" s="229" t="s">
        <v>160</v>
      </c>
      <c r="C32" s="82"/>
      <c r="D32" s="82"/>
      <c r="E32" s="18"/>
      <c r="F32" s="18"/>
      <c r="G32" s="536">
        <v>17273</v>
      </c>
      <c r="H32" s="82"/>
      <c r="I32" s="536">
        <v>57026</v>
      </c>
      <c r="J32" s="18"/>
      <c r="K32" s="18"/>
      <c r="L32" s="231"/>
    </row>
    <row r="33" spans="1:12" ht="15.75" x14ac:dyDescent="0.25">
      <c r="B33" s="229" t="s">
        <v>161</v>
      </c>
      <c r="C33" s="82"/>
      <c r="D33" s="82"/>
      <c r="E33" s="18"/>
      <c r="F33" s="18"/>
      <c r="G33" s="536">
        <f>4226-1</f>
        <v>4225</v>
      </c>
      <c r="H33" s="82"/>
      <c r="I33" s="536">
        <v>1484</v>
      </c>
      <c r="J33" s="18"/>
      <c r="K33" s="18"/>
      <c r="L33" s="231"/>
    </row>
    <row r="34" spans="1:12" ht="15.75" x14ac:dyDescent="0.25">
      <c r="B34" s="229" t="s">
        <v>162</v>
      </c>
      <c r="C34" s="82"/>
      <c r="D34" s="82"/>
      <c r="E34" s="18"/>
      <c r="F34" s="18"/>
      <c r="G34" s="536">
        <f>4766</f>
        <v>4766</v>
      </c>
      <c r="H34" s="82"/>
      <c r="I34" s="536">
        <v>1634</v>
      </c>
      <c r="J34" s="18"/>
      <c r="K34" s="18"/>
      <c r="L34" s="231"/>
    </row>
    <row r="35" spans="1:12" ht="15.75" x14ac:dyDescent="0.25">
      <c r="B35" s="229" t="s">
        <v>163</v>
      </c>
      <c r="C35" s="82"/>
      <c r="D35" s="82"/>
      <c r="E35" s="18"/>
      <c r="F35" s="18"/>
      <c r="G35" s="536"/>
      <c r="H35" s="82"/>
      <c r="I35" s="536"/>
      <c r="J35" s="18"/>
      <c r="K35" s="18"/>
      <c r="L35" s="231"/>
    </row>
    <row r="36" spans="1:12" ht="19.5" customHeight="1" x14ac:dyDescent="0.25">
      <c r="B36" s="229" t="s">
        <v>164</v>
      </c>
      <c r="C36" s="82"/>
      <c r="D36" s="82"/>
      <c r="E36" s="18"/>
      <c r="F36" s="18"/>
      <c r="G36" s="536"/>
      <c r="H36" s="82"/>
      <c r="I36" s="536"/>
      <c r="J36" s="18"/>
      <c r="K36" s="18"/>
      <c r="L36" s="231"/>
    </row>
    <row r="37" spans="1:12" ht="19.5" customHeight="1" x14ac:dyDescent="0.25">
      <c r="B37" s="229" t="s">
        <v>165</v>
      </c>
      <c r="C37" s="82"/>
      <c r="D37" s="82"/>
      <c r="E37" s="18"/>
      <c r="F37" s="18"/>
      <c r="G37" s="536">
        <v>5371</v>
      </c>
      <c r="H37" s="82"/>
      <c r="I37" s="536">
        <v>-24990</v>
      </c>
      <c r="J37" s="18"/>
      <c r="K37" s="18"/>
      <c r="L37" s="231"/>
    </row>
    <row r="38" spans="1:12" ht="19.5" customHeight="1" x14ac:dyDescent="0.25">
      <c r="B38" s="229" t="s">
        <v>166</v>
      </c>
      <c r="C38" s="82"/>
      <c r="D38" s="82"/>
      <c r="E38" s="18"/>
      <c r="F38" s="18"/>
      <c r="G38" s="536"/>
      <c r="H38" s="82"/>
      <c r="I38" s="536"/>
      <c r="J38" s="18"/>
      <c r="K38" s="18"/>
      <c r="L38" s="231"/>
    </row>
    <row r="39" spans="1:12" ht="19.5" customHeight="1" x14ac:dyDescent="0.25">
      <c r="B39" s="628" t="str">
        <f>'[1]נייר עבודה דו"ח תזרים'!C55</f>
        <v>סעיף אחר-פעילות השקעה (***)</v>
      </c>
      <c r="C39" s="82"/>
      <c r="D39" s="82"/>
      <c r="E39" s="18"/>
      <c r="F39" s="18"/>
      <c r="G39" s="536"/>
      <c r="H39" s="82"/>
      <c r="I39" s="536"/>
      <c r="J39" s="18"/>
      <c r="K39" s="18"/>
      <c r="L39" s="231"/>
    </row>
    <row r="40" spans="1:12" ht="19.5" customHeight="1" x14ac:dyDescent="0.25">
      <c r="B40" s="628" t="str">
        <f>+'[1]נייר עבודה דו"ח תזרים'!C56</f>
        <v>סעיף אחר-פעילות השקעה (***)</v>
      </c>
      <c r="C40" s="82"/>
      <c r="D40" s="82"/>
      <c r="E40" s="18"/>
      <c r="F40" s="18"/>
      <c r="G40" s="536"/>
      <c r="H40" s="82"/>
      <c r="I40" s="536"/>
      <c r="J40" s="18"/>
      <c r="K40" s="18"/>
      <c r="L40" s="231"/>
    </row>
    <row r="41" spans="1:12" ht="15.75" x14ac:dyDescent="0.25">
      <c r="B41" s="628" t="str">
        <f>+'[1]נייר עבודה דו"ח תזרים'!C57</f>
        <v>סעיף אחר-פעילות השקעה (***)</v>
      </c>
      <c r="C41" s="82"/>
      <c r="D41" s="82"/>
      <c r="E41" s="18"/>
      <c r="F41" s="18"/>
      <c r="G41" s="536"/>
      <c r="H41" s="82"/>
      <c r="I41" s="536"/>
      <c r="J41" s="18"/>
      <c r="K41" s="18"/>
      <c r="L41" s="231"/>
    </row>
    <row r="42" spans="1:12" ht="15.75" x14ac:dyDescent="0.25">
      <c r="B42" s="628" t="str">
        <f>'[1]נייר עבודה דו"ח תזרים'!C93</f>
        <v>סעיף אחר-פעילות השקעה (***)</v>
      </c>
      <c r="C42" s="82"/>
      <c r="D42" s="82"/>
      <c r="E42" s="18"/>
      <c r="F42" s="18"/>
      <c r="G42" s="536"/>
      <c r="H42" s="82"/>
      <c r="I42" s="536"/>
      <c r="J42" s="18"/>
      <c r="K42" s="18"/>
      <c r="L42" s="231"/>
    </row>
    <row r="43" spans="1:12" ht="15.75" x14ac:dyDescent="0.25">
      <c r="B43" s="317" t="s">
        <v>167</v>
      </c>
      <c r="C43" s="18"/>
      <c r="D43" s="18"/>
      <c r="E43" s="18"/>
      <c r="F43" s="18"/>
      <c r="G43" s="163">
        <f>SUM(G22:G42)</f>
        <v>4803</v>
      </c>
      <c r="H43" s="78"/>
      <c r="I43" s="163">
        <f>SUM(I22:I42)</f>
        <v>-6422</v>
      </c>
      <c r="J43" s="18"/>
      <c r="K43" s="18"/>
      <c r="L43" s="231"/>
    </row>
    <row r="44" spans="1:12" ht="15.75" x14ac:dyDescent="0.25">
      <c r="B44" s="229"/>
      <c r="C44" s="18"/>
      <c r="D44" s="18"/>
      <c r="E44" s="18"/>
      <c r="F44" s="18"/>
      <c r="G44" s="18"/>
      <c r="H44" s="18"/>
      <c r="I44" s="18"/>
      <c r="J44" s="18"/>
      <c r="K44" s="18"/>
      <c r="L44" s="231"/>
    </row>
    <row r="45" spans="1:12" ht="18.75" x14ac:dyDescent="0.3">
      <c r="B45" s="230" t="s">
        <v>168</v>
      </c>
      <c r="C45" s="18"/>
      <c r="D45" s="18"/>
      <c r="E45" s="18"/>
      <c r="F45" s="18"/>
      <c r="G45" s="18"/>
      <c r="H45" s="18"/>
      <c r="I45" s="18"/>
      <c r="L45" s="228"/>
    </row>
    <row r="46" spans="1:12" ht="15.75" x14ac:dyDescent="0.25">
      <c r="A46" s="18"/>
      <c r="B46" s="229"/>
      <c r="C46" s="18"/>
      <c r="D46" s="18"/>
      <c r="E46" s="18"/>
      <c r="F46" s="18"/>
      <c r="G46" s="18"/>
      <c r="H46" s="18"/>
      <c r="I46" s="18"/>
      <c r="J46" s="18"/>
      <c r="L46" s="228"/>
    </row>
    <row r="47" spans="1:12" ht="15.75" x14ac:dyDescent="0.25">
      <c r="A47" s="18"/>
      <c r="B47" s="229" t="s">
        <v>169</v>
      </c>
      <c r="C47" s="18"/>
      <c r="D47" s="18"/>
      <c r="E47" s="18"/>
      <c r="F47" s="18"/>
      <c r="G47" s="536"/>
      <c r="H47" s="82"/>
      <c r="I47" s="536"/>
      <c r="J47" s="18"/>
      <c r="L47" s="228"/>
    </row>
    <row r="48" spans="1:12" ht="15.75" x14ac:dyDescent="0.25">
      <c r="A48" s="18"/>
      <c r="B48" s="229" t="s">
        <v>170</v>
      </c>
      <c r="C48" s="18"/>
      <c r="D48" s="18"/>
      <c r="E48" s="18"/>
      <c r="F48" s="18"/>
      <c r="G48" s="536"/>
      <c r="H48" s="82"/>
      <c r="I48" s="536"/>
      <c r="J48" s="18"/>
      <c r="L48" s="228"/>
    </row>
    <row r="49" spans="1:12" ht="15.75" x14ac:dyDescent="0.25">
      <c r="A49" s="18"/>
      <c r="B49" s="229" t="s">
        <v>171</v>
      </c>
      <c r="C49" s="18"/>
      <c r="D49" s="18"/>
      <c r="E49" s="18"/>
      <c r="F49" s="18"/>
      <c r="G49" s="536"/>
      <c r="H49" s="82"/>
      <c r="I49" s="536"/>
      <c r="J49" s="18"/>
      <c r="L49" s="228"/>
    </row>
    <row r="50" spans="1:12" ht="15.75" x14ac:dyDescent="0.25">
      <c r="A50" s="18"/>
      <c r="B50" s="229" t="s">
        <v>172</v>
      </c>
      <c r="C50" s="18"/>
      <c r="D50" s="18"/>
      <c r="E50" s="18"/>
      <c r="F50" s="18"/>
      <c r="G50" s="536"/>
      <c r="H50" s="82"/>
      <c r="I50" s="536"/>
      <c r="J50" s="18"/>
      <c r="L50" s="228"/>
    </row>
    <row r="51" spans="1:12" ht="15.75" x14ac:dyDescent="0.25">
      <c r="A51" s="18"/>
      <c r="B51" s="229" t="s">
        <v>173</v>
      </c>
      <c r="C51" s="18"/>
      <c r="D51" s="18"/>
      <c r="E51" s="18"/>
      <c r="F51" s="18"/>
      <c r="G51" s="536"/>
      <c r="H51" s="82"/>
      <c r="I51" s="536"/>
      <c r="J51" s="18"/>
      <c r="L51" s="228"/>
    </row>
    <row r="52" spans="1:12" ht="15.75" x14ac:dyDescent="0.25">
      <c r="A52" s="18"/>
      <c r="B52" s="229" t="s">
        <v>174</v>
      </c>
      <c r="C52" s="18"/>
      <c r="D52" s="18"/>
      <c r="E52" s="18"/>
      <c r="F52" s="18"/>
      <c r="G52" s="536"/>
      <c r="H52" s="82"/>
      <c r="I52" s="536"/>
      <c r="J52" s="18"/>
      <c r="L52" s="228"/>
    </row>
    <row r="53" spans="1:12" ht="15.75" x14ac:dyDescent="0.25">
      <c r="A53" s="18"/>
      <c r="B53" s="229" t="s">
        <v>175</v>
      </c>
      <c r="C53" s="18"/>
      <c r="D53" s="18"/>
      <c r="E53" s="18"/>
      <c r="F53" s="18"/>
      <c r="G53" s="536">
        <v>-6308</v>
      </c>
      <c r="H53" s="82"/>
      <c r="I53" s="536">
        <f>-11200-321</f>
        <v>-11521</v>
      </c>
      <c r="J53" s="18"/>
      <c r="L53" s="228"/>
    </row>
    <row r="54" spans="1:12" ht="15.75" x14ac:dyDescent="0.25">
      <c r="A54" s="18"/>
      <c r="B54" s="229" t="s">
        <v>176</v>
      </c>
      <c r="C54" s="18"/>
      <c r="D54" s="18"/>
      <c r="E54" s="18"/>
      <c r="F54" s="18"/>
      <c r="G54" s="536"/>
      <c r="H54" s="82"/>
      <c r="I54" s="536"/>
      <c r="J54" s="18"/>
      <c r="L54" s="228"/>
    </row>
    <row r="55" spans="1:12" ht="15.75" x14ac:dyDescent="0.25">
      <c r="A55" s="18"/>
      <c r="B55" s="229" t="s">
        <v>177</v>
      </c>
      <c r="C55" s="18"/>
      <c r="D55" s="18"/>
      <c r="E55" s="18"/>
      <c r="F55" s="18"/>
      <c r="G55" s="536"/>
      <c r="H55" s="82"/>
      <c r="I55" s="536"/>
      <c r="J55" s="18"/>
      <c r="L55" s="228"/>
    </row>
    <row r="56" spans="1:12" ht="15.75" x14ac:dyDescent="0.25">
      <c r="A56" s="18"/>
      <c r="B56" s="628" t="str">
        <f>'[1]נייר עבודה דו"ח תזרים'!C90</f>
        <v>סעיף אחר-פעילות מימון (***)</v>
      </c>
      <c r="C56" s="18"/>
      <c r="D56" s="18"/>
      <c r="E56" s="18"/>
      <c r="F56" s="18"/>
      <c r="G56" s="536"/>
      <c r="H56" s="82"/>
      <c r="I56" s="536"/>
      <c r="J56" s="18"/>
      <c r="L56" s="228"/>
    </row>
    <row r="57" spans="1:12" ht="15.75" x14ac:dyDescent="0.25">
      <c r="A57" s="18"/>
      <c r="B57" s="628" t="str">
        <f>'[1]נייר עבודה דו"ח תזרים'!C91</f>
        <v>סעיף אחר-פעילות מימון (***)</v>
      </c>
      <c r="C57" s="18"/>
      <c r="D57" s="18"/>
      <c r="E57" s="18"/>
      <c r="F57" s="18"/>
      <c r="G57" s="536"/>
      <c r="H57" s="82"/>
      <c r="I57" s="536"/>
      <c r="J57" s="18"/>
      <c r="L57" s="228"/>
    </row>
    <row r="58" spans="1:12" ht="15.75" x14ac:dyDescent="0.25">
      <c r="A58" s="18"/>
      <c r="B58" s="628" t="str">
        <f>'[1]נייר עבודה דו"ח תזרים'!C92</f>
        <v>סעיף אחר-פעילות מימון (***)</v>
      </c>
      <c r="C58" s="18"/>
      <c r="D58" s="18"/>
      <c r="E58" s="18"/>
      <c r="F58" s="18"/>
      <c r="G58" s="536"/>
      <c r="H58" s="82"/>
      <c r="I58" s="536"/>
      <c r="J58" s="18"/>
      <c r="L58" s="228"/>
    </row>
    <row r="59" spans="1:12" ht="15.75" x14ac:dyDescent="0.25">
      <c r="A59" s="18"/>
      <c r="B59" s="628" t="str">
        <f>'[1]נייר עבודה דו"ח תזרים'!C58</f>
        <v>סעיף אחר-פעילות מימון (***)</v>
      </c>
      <c r="C59" s="18"/>
      <c r="D59" s="18"/>
      <c r="E59" s="18"/>
      <c r="F59" s="18"/>
      <c r="G59" s="536"/>
      <c r="H59" s="82"/>
      <c r="I59" s="536"/>
      <c r="J59" s="18"/>
      <c r="L59" s="228"/>
    </row>
    <row r="60" spans="1:12" ht="15.75" x14ac:dyDescent="0.25">
      <c r="A60" s="18"/>
      <c r="B60" s="317" t="s">
        <v>178</v>
      </c>
      <c r="C60" s="18"/>
      <c r="D60" s="18"/>
      <c r="E60" s="18"/>
      <c r="F60" s="18"/>
      <c r="G60" s="163">
        <f>SUM(G47:G59)</f>
        <v>-6308</v>
      </c>
      <c r="H60" s="78"/>
      <c r="I60" s="163">
        <f>SUM(I47:I59)</f>
        <v>-11521</v>
      </c>
      <c r="J60" s="18"/>
      <c r="L60" s="228"/>
    </row>
    <row r="61" spans="1:12" ht="3" customHeight="1" x14ac:dyDescent="0.25">
      <c r="A61" s="18"/>
      <c r="B61" s="229"/>
      <c r="C61" s="18"/>
      <c r="D61" s="18"/>
      <c r="E61" s="18"/>
      <c r="F61" s="18"/>
      <c r="G61" s="18"/>
      <c r="H61" s="18"/>
      <c r="I61" s="18"/>
      <c r="J61" s="18"/>
      <c r="L61" s="228"/>
    </row>
    <row r="62" spans="1:12" ht="15.75" x14ac:dyDescent="0.25">
      <c r="A62" s="18"/>
      <c r="B62" s="229"/>
      <c r="C62" s="18"/>
      <c r="D62" s="18"/>
      <c r="E62" s="18"/>
      <c r="F62" s="18"/>
      <c r="G62" s="18"/>
      <c r="H62" s="18"/>
      <c r="I62" s="18"/>
      <c r="J62" s="18"/>
      <c r="L62" s="228"/>
    </row>
    <row r="63" spans="1:12" ht="15.75" x14ac:dyDescent="0.25">
      <c r="A63" s="18"/>
      <c r="B63" s="229" t="s">
        <v>179</v>
      </c>
      <c r="C63" s="18"/>
      <c r="D63" s="18"/>
      <c r="E63" s="18"/>
      <c r="F63" s="18"/>
      <c r="G63" s="536">
        <v>-5054</v>
      </c>
      <c r="H63" s="82"/>
      <c r="I63" s="536">
        <f>I60+I43+I17</f>
        <v>4072</v>
      </c>
      <c r="J63" s="18"/>
      <c r="L63" s="228"/>
    </row>
    <row r="64" spans="1:12" ht="15.75" x14ac:dyDescent="0.25">
      <c r="A64" s="18"/>
      <c r="B64" s="229" t="s">
        <v>180</v>
      </c>
      <c r="C64" s="18"/>
      <c r="D64" s="18"/>
      <c r="E64" s="18"/>
      <c r="F64" s="18"/>
      <c r="G64" s="536">
        <v>11982</v>
      </c>
      <c r="H64" s="82"/>
      <c r="I64" s="536">
        <v>7910</v>
      </c>
      <c r="J64" s="18"/>
      <c r="L64" s="228"/>
    </row>
    <row r="65" spans="1:12" ht="18.75" x14ac:dyDescent="0.3">
      <c r="A65" s="18"/>
      <c r="B65" s="317" t="s">
        <v>181</v>
      </c>
      <c r="C65" s="18"/>
      <c r="D65" s="18"/>
      <c r="E65" s="18"/>
      <c r="F65" s="18"/>
      <c r="G65" s="219">
        <f>G63+G64</f>
        <v>6928</v>
      </c>
      <c r="H65" s="233"/>
      <c r="I65" s="219">
        <f>I63+I64</f>
        <v>11982</v>
      </c>
      <c r="J65" s="18"/>
      <c r="L65" s="228"/>
    </row>
    <row r="66" spans="1:12" ht="16.5" thickBot="1" x14ac:dyDescent="0.3">
      <c r="A66" s="18"/>
      <c r="B66" s="234"/>
      <c r="C66" s="235"/>
      <c r="D66" s="235"/>
      <c r="E66" s="235"/>
      <c r="F66" s="235"/>
      <c r="G66" s="235"/>
      <c r="H66" s="235"/>
      <c r="I66" s="235"/>
      <c r="J66" s="235"/>
      <c r="K66" s="236"/>
      <c r="L66" s="237"/>
    </row>
    <row r="67" spans="1:12" ht="15.75" x14ac:dyDescent="0.25">
      <c r="A67" s="18"/>
      <c r="B67" s="18"/>
      <c r="C67" s="18"/>
      <c r="D67" s="18"/>
      <c r="E67" s="18"/>
      <c r="F67" s="18"/>
      <c r="G67" s="18"/>
      <c r="H67" s="18"/>
      <c r="I67" s="18"/>
      <c r="J67" s="18"/>
    </row>
    <row r="68" spans="1:12" ht="15.75" x14ac:dyDescent="0.25">
      <c r="A68" s="18"/>
      <c r="B68" s="18"/>
      <c r="C68" s="18"/>
      <c r="D68" s="18"/>
      <c r="E68" s="18"/>
      <c r="F68" s="18"/>
      <c r="G68" s="18"/>
      <c r="H68" s="18"/>
      <c r="I68" s="18"/>
      <c r="J68" s="18"/>
    </row>
    <row r="69" spans="1:12" ht="15.75" x14ac:dyDescent="0.25">
      <c r="A69" s="18"/>
      <c r="B69" s="18"/>
      <c r="C69" s="18"/>
      <c r="D69" s="18"/>
      <c r="E69" s="18"/>
      <c r="F69" s="18"/>
      <c r="G69" s="18"/>
      <c r="H69" s="18"/>
      <c r="I69" s="18"/>
      <c r="J69" s="18"/>
    </row>
    <row r="70" spans="1:12" ht="15.75" x14ac:dyDescent="0.25">
      <c r="A70" s="18"/>
      <c r="B70" s="18"/>
      <c r="C70" s="18"/>
      <c r="D70" s="18"/>
      <c r="E70" s="18"/>
      <c r="F70" s="18"/>
      <c r="G70" s="18"/>
      <c r="H70" s="18"/>
      <c r="I70" s="18"/>
      <c r="J70" s="18"/>
    </row>
    <row r="71" spans="1:12" ht="15.75" x14ac:dyDescent="0.25">
      <c r="A71" s="18"/>
      <c r="B71" s="18"/>
      <c r="C71" s="18"/>
      <c r="D71" s="18"/>
      <c r="E71" s="18"/>
      <c r="F71" s="18"/>
      <c r="G71" s="18"/>
      <c r="H71" s="18"/>
      <c r="I71" s="18"/>
      <c r="J71" s="18"/>
    </row>
    <row r="72" spans="1:12" ht="15.75" x14ac:dyDescent="0.25">
      <c r="A72" s="18"/>
      <c r="B72" s="18"/>
      <c r="C72" s="18"/>
      <c r="D72" s="18"/>
      <c r="E72" s="18"/>
      <c r="F72" s="18"/>
      <c r="G72" s="18"/>
      <c r="H72" s="18"/>
      <c r="I72" s="18"/>
      <c r="J72" s="18"/>
    </row>
  </sheetData>
  <sheetProtection algorithmName="SHA-512" hashValue="lrzYAFO28v6AoPXWWq4hysWYBwtkCJMQltYZUxITzL6tV4lMHSRSdc6MKZJOuMM1DE/KJnX+8aW28CxnNg1rcw==" saltValue="nNYFwdwvK+UzRELdplGNYQ==" spinCount="100000" sheet="1" objects="1" scenarios="1"/>
  <mergeCells count="4">
    <mergeCell ref="B27:D27"/>
    <mergeCell ref="B22:D22"/>
    <mergeCell ref="B23:D23"/>
    <mergeCell ref="B26:D26"/>
  </mergeCells>
  <hyperlinks>
    <hyperlink ref="A6" location="'תוכן עניינים'!A1" display="תוכן עניינים" xr:uid="{00000000-0004-0000-0700-000000000000}"/>
    <hyperlink ref="A7" location="'נספח א'!A1" display="נספח א'" xr:uid="{00000000-0004-0000-0700-000001000000}"/>
    <hyperlink ref="A8" location="'נספח ב'!A1" display="נספח ב" xr:uid="{00000000-0004-0000-0700-000002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גיליון9"/>
  <dimension ref="A1:M54"/>
  <sheetViews>
    <sheetView showGridLines="0" rightToLeft="1" topLeftCell="A7" zoomScale="85" zoomScaleNormal="85" workbookViewId="0">
      <selection activeCell="H40" sqref="H40"/>
    </sheetView>
  </sheetViews>
  <sheetFormatPr defaultColWidth="8" defaultRowHeight="12.75" x14ac:dyDescent="0.2"/>
  <cols>
    <col min="1" max="1" width="17.25" style="56" bestFit="1" customWidth="1"/>
    <col min="2" max="4" width="8" style="56"/>
    <col min="5" max="5" width="9.25" style="56" customWidth="1"/>
    <col min="6" max="6" width="10.25" style="56" customWidth="1"/>
    <col min="7" max="7" width="16.625" style="56" customWidth="1"/>
    <col min="8" max="8" width="13" style="56" customWidth="1"/>
    <col min="9" max="9" width="1.625" style="56" customWidth="1"/>
    <col min="10" max="10" width="13" style="56" customWidth="1"/>
    <col min="11" max="11" width="8" style="56"/>
    <col min="12" max="12" width="5.125" style="56" customWidth="1"/>
    <col min="13" max="14" width="8" style="56"/>
    <col min="15" max="15" width="12.75" style="56" customWidth="1"/>
    <col min="16" max="16384" width="8" style="56"/>
  </cols>
  <sheetData>
    <row r="1" spans="1:13" ht="27.6" customHeight="1" x14ac:dyDescent="0.5">
      <c r="A1" s="11" t="s">
        <v>776</v>
      </c>
      <c r="B1" s="5"/>
      <c r="C1" s="12">
        <f>הנחיות!C1</f>
        <v>2024</v>
      </c>
      <c r="D1" s="5"/>
      <c r="E1" s="5"/>
      <c r="F1" s="5"/>
      <c r="G1" s="5"/>
      <c r="H1" s="70"/>
      <c r="I1" s="73"/>
      <c r="J1" s="73"/>
      <c r="K1" s="6"/>
      <c r="L1" s="8"/>
    </row>
    <row r="2" spans="1:13" ht="21" customHeight="1" x14ac:dyDescent="0.5">
      <c r="A2" s="13" t="s">
        <v>772</v>
      </c>
      <c r="B2" s="6"/>
      <c r="C2" s="15" t="s">
        <v>789</v>
      </c>
      <c r="D2" s="6"/>
      <c r="E2" s="6"/>
      <c r="F2" s="6"/>
      <c r="G2" s="6"/>
      <c r="H2" s="72"/>
      <c r="I2" s="73"/>
      <c r="J2" s="73"/>
      <c r="K2" s="6"/>
      <c r="L2" s="8"/>
    </row>
    <row r="3" spans="1:13" ht="11.1" customHeight="1" x14ac:dyDescent="0.5">
      <c r="A3" s="7"/>
      <c r="B3" s="6"/>
      <c r="C3" s="6"/>
      <c r="D3" s="6"/>
      <c r="E3" s="6"/>
      <c r="F3" s="6"/>
      <c r="G3" s="6"/>
      <c r="H3" s="72"/>
      <c r="I3" s="73"/>
      <c r="J3" s="73"/>
      <c r="K3" s="6"/>
      <c r="L3" s="8"/>
    </row>
    <row r="4" spans="1:13" ht="25.15" customHeight="1" x14ac:dyDescent="0.5">
      <c r="A4" s="169" t="s">
        <v>773</v>
      </c>
      <c r="B4" s="170"/>
      <c r="C4" s="171" t="str">
        <f>IF('פרטי התאגיד'!$G$9=0, "", 'פרטי התאגיד'!$G$9)</f>
        <v>פלגי מוצקין בע"מ</v>
      </c>
      <c r="D4" s="172"/>
      <c r="E4" s="172"/>
      <c r="F4" s="172"/>
      <c r="G4" s="172"/>
      <c r="H4" s="173"/>
      <c r="I4" s="174"/>
      <c r="J4" s="174"/>
      <c r="K4" s="201"/>
      <c r="L4" s="8"/>
    </row>
    <row r="5" spans="1:13" ht="31.5" x14ac:dyDescent="0.5">
      <c r="A5" s="9"/>
      <c r="B5" s="8"/>
      <c r="C5" s="8"/>
      <c r="D5" s="8"/>
      <c r="E5" s="8"/>
      <c r="F5" s="8"/>
      <c r="G5" s="57"/>
      <c r="H5" s="8"/>
      <c r="I5" s="8"/>
      <c r="J5" s="8"/>
      <c r="K5" s="8"/>
      <c r="L5" s="71"/>
    </row>
    <row r="6" spans="1:13" ht="23.25" x14ac:dyDescent="0.35">
      <c r="A6" s="30" t="s">
        <v>1</v>
      </c>
      <c r="B6" s="748"/>
      <c r="C6" s="748"/>
      <c r="D6" s="748"/>
      <c r="E6" s="748"/>
      <c r="F6" s="748"/>
      <c r="G6" s="748"/>
      <c r="H6" s="748"/>
      <c r="I6" s="748"/>
      <c r="J6" s="748"/>
    </row>
    <row r="7" spans="1:13" ht="23.25" x14ac:dyDescent="0.35">
      <c r="A7" s="30" t="s">
        <v>182</v>
      </c>
      <c r="B7" s="209"/>
      <c r="C7" s="209"/>
      <c r="D7" s="209"/>
      <c r="E7" s="141"/>
      <c r="F7" s="209"/>
      <c r="G7" s="209"/>
      <c r="H7" s="209"/>
      <c r="I7" s="209"/>
      <c r="J7" s="209"/>
    </row>
    <row r="8" spans="1:13" ht="24" thickBot="1" x14ac:dyDescent="0.4">
      <c r="A8" s="30" t="s">
        <v>144</v>
      </c>
      <c r="B8" s="77"/>
      <c r="C8" s="79"/>
      <c r="D8" s="79"/>
      <c r="E8" s="141"/>
      <c r="F8" s="79"/>
      <c r="G8" s="79"/>
      <c r="H8" s="79"/>
      <c r="I8" s="79"/>
      <c r="J8" s="79"/>
    </row>
    <row r="9" spans="1:13" ht="15.75" x14ac:dyDescent="0.25">
      <c r="A9" s="79"/>
      <c r="B9" s="256"/>
      <c r="C9" s="257"/>
      <c r="D9" s="257"/>
      <c r="E9" s="257"/>
      <c r="F9" s="257"/>
      <c r="G9" s="257"/>
      <c r="H9" s="257"/>
      <c r="I9" s="257"/>
      <c r="J9" s="257"/>
      <c r="K9" s="258"/>
      <c r="L9" s="79"/>
      <c r="M9" s="79"/>
    </row>
    <row r="10" spans="1:13" ht="21" x14ac:dyDescent="0.35">
      <c r="A10" s="79"/>
      <c r="B10" s="259" t="s">
        <v>183</v>
      </c>
      <c r="C10" s="109"/>
      <c r="D10" s="255"/>
      <c r="E10" s="255"/>
      <c r="F10" s="255"/>
      <c r="G10" s="255"/>
      <c r="H10" s="99">
        <f>IF('פרטי התאגיד'!G11="","",IF(LEN('פרטי התאגיד'!$G$11)&gt;4,MID('פרטי התאגיד'!$G$11,4,2)&amp;"-12/"&amp;MID('פרטי התאגיד'!$G$11,7,4),IF(LEN(I10)&gt;4,"1-12/"&amp;'פרטי התאגיד'!$G$11,'פרטי התאגיד'!$G$11)))</f>
        <v>2024</v>
      </c>
      <c r="I10" s="99"/>
      <c r="J10" s="99">
        <f>IF('פרטי התאגיד'!G13="","",IF(LEN('פרטי התאגיד'!$G$13)=4,'פרטי התאגיד'!$G$13,MID('פרטי התאגיד'!$G$13,4,2)&amp;"-12/"&amp;MID('פרטי התאגיד'!$G$13,7,4)))</f>
        <v>2023</v>
      </c>
      <c r="K10" s="260"/>
      <c r="L10" s="79"/>
      <c r="M10" s="79"/>
    </row>
    <row r="11" spans="1:13" ht="15.75" x14ac:dyDescent="0.25">
      <c r="A11" s="79"/>
      <c r="B11" s="261"/>
      <c r="C11" s="79"/>
      <c r="D11" s="79"/>
      <c r="E11" s="79"/>
      <c r="F11" s="79"/>
      <c r="G11" s="79"/>
      <c r="H11" s="79"/>
      <c r="I11" s="79"/>
      <c r="J11" s="79"/>
      <c r="K11" s="262"/>
      <c r="L11" s="79"/>
      <c r="M11" s="79"/>
    </row>
    <row r="12" spans="1:13" ht="18.75" x14ac:dyDescent="0.3">
      <c r="A12" s="79"/>
      <c r="B12" s="263" t="s">
        <v>184</v>
      </c>
      <c r="C12" s="79"/>
      <c r="D12" s="94"/>
      <c r="E12" s="94"/>
      <c r="F12" s="78"/>
      <c r="G12" s="78"/>
      <c r="H12" s="78"/>
      <c r="I12" s="78"/>
      <c r="J12" s="78"/>
      <c r="K12" s="262"/>
      <c r="L12" s="79"/>
      <c r="M12" s="79"/>
    </row>
    <row r="13" spans="1:13" ht="15.75" x14ac:dyDescent="0.25">
      <c r="A13" s="79"/>
      <c r="B13" s="264"/>
      <c r="C13" s="79"/>
      <c r="D13" s="94"/>
      <c r="E13" s="94"/>
      <c r="F13" s="78"/>
      <c r="G13" s="78"/>
      <c r="H13" s="78"/>
      <c r="I13" s="78"/>
      <c r="J13" s="78"/>
      <c r="K13" s="262"/>
      <c r="L13" s="79"/>
      <c r="M13" s="79"/>
    </row>
    <row r="14" spans="1:13" ht="15.75" x14ac:dyDescent="0.25">
      <c r="A14" s="79"/>
      <c r="B14" s="261" t="s">
        <v>185</v>
      </c>
      <c r="C14" s="79"/>
      <c r="D14" s="79"/>
      <c r="E14" s="79"/>
      <c r="F14" s="79"/>
      <c r="G14" s="79"/>
      <c r="H14" s="129">
        <f>13411+1096</f>
        <v>14507</v>
      </c>
      <c r="I14" s="82"/>
      <c r="J14" s="129">
        <f>11107+1096</f>
        <v>12203</v>
      </c>
      <c r="K14" s="262"/>
      <c r="L14" s="79"/>
      <c r="M14" s="79"/>
    </row>
    <row r="15" spans="1:13" ht="15.75" x14ac:dyDescent="0.25">
      <c r="A15" s="79"/>
      <c r="B15" s="229" t="s">
        <v>186</v>
      </c>
      <c r="C15" s="79"/>
      <c r="D15" s="79"/>
      <c r="E15" s="79"/>
      <c r="F15" s="79"/>
      <c r="G15" s="79"/>
      <c r="H15" s="129">
        <v>243</v>
      </c>
      <c r="I15" s="82"/>
      <c r="J15" s="129">
        <f>593+7</f>
        <v>600</v>
      </c>
      <c r="K15" s="262"/>
      <c r="L15" s="79"/>
      <c r="M15" s="79"/>
    </row>
    <row r="16" spans="1:13" ht="15.75" x14ac:dyDescent="0.25">
      <c r="A16" s="79"/>
      <c r="B16" s="261" t="s">
        <v>187</v>
      </c>
      <c r="C16" s="79"/>
      <c r="D16" s="79"/>
      <c r="E16" s="79"/>
      <c r="F16" s="79"/>
      <c r="G16" s="79"/>
      <c r="H16" s="129">
        <v>5131</v>
      </c>
      <c r="I16" s="82"/>
      <c r="J16" s="129">
        <v>-159</v>
      </c>
      <c r="K16" s="262"/>
      <c r="L16" s="79"/>
      <c r="M16" s="79"/>
    </row>
    <row r="17" spans="1:13" ht="15.75" x14ac:dyDescent="0.25">
      <c r="A17" s="79"/>
      <c r="B17" s="261" t="s">
        <v>188</v>
      </c>
      <c r="C17" s="79"/>
      <c r="D17" s="79"/>
      <c r="E17" s="79"/>
      <c r="F17" s="79"/>
      <c r="G17" s="79"/>
      <c r="H17" s="129"/>
      <c r="I17" s="82"/>
      <c r="J17" s="129"/>
      <c r="K17" s="262"/>
      <c r="L17" s="79"/>
      <c r="M17" s="79"/>
    </row>
    <row r="18" spans="1:13" ht="15.75" x14ac:dyDescent="0.25">
      <c r="A18" s="79"/>
      <c r="B18" s="261" t="s">
        <v>189</v>
      </c>
      <c r="C18" s="79"/>
      <c r="D18" s="79"/>
      <c r="E18" s="79"/>
      <c r="F18" s="79"/>
      <c r="G18" s="79"/>
      <c r="H18" s="129"/>
      <c r="I18" s="82"/>
      <c r="J18" s="129">
        <v>0</v>
      </c>
      <c r="K18" s="262"/>
      <c r="L18" s="79"/>
      <c r="M18" s="79"/>
    </row>
    <row r="19" spans="1:13" ht="15.75" x14ac:dyDescent="0.25">
      <c r="A19" s="79"/>
      <c r="B19" s="261" t="s">
        <v>190</v>
      </c>
      <c r="C19" s="79"/>
      <c r="D19" s="79"/>
      <c r="E19" s="79"/>
      <c r="F19" s="79"/>
      <c r="G19" s="79"/>
      <c r="H19" s="129"/>
      <c r="I19" s="82"/>
      <c r="J19" s="129"/>
      <c r="K19" s="262"/>
      <c r="L19" s="79"/>
      <c r="M19" s="79"/>
    </row>
    <row r="20" spans="1:13" ht="15.75" x14ac:dyDescent="0.25">
      <c r="A20" s="79"/>
      <c r="B20" s="261" t="s">
        <v>191</v>
      </c>
      <c r="C20" s="79"/>
      <c r="D20" s="79"/>
      <c r="E20" s="79"/>
      <c r="F20" s="79"/>
      <c r="G20" s="79"/>
      <c r="H20" s="129"/>
      <c r="I20" s="82"/>
      <c r="J20" s="129"/>
      <c r="K20" s="262"/>
      <c r="L20" s="79"/>
      <c r="M20" s="79"/>
    </row>
    <row r="21" spans="1:13" ht="15.75" x14ac:dyDescent="0.25">
      <c r="A21" s="79"/>
      <c r="B21" s="261" t="s">
        <v>192</v>
      </c>
      <c r="C21" s="79"/>
      <c r="D21" s="79"/>
      <c r="E21" s="79"/>
      <c r="F21" s="79"/>
      <c r="G21" s="79"/>
      <c r="H21" s="129"/>
      <c r="I21" s="82"/>
      <c r="J21" s="129"/>
      <c r="K21" s="262"/>
      <c r="L21" s="79"/>
      <c r="M21" s="79"/>
    </row>
    <row r="22" spans="1:13" ht="15.75" x14ac:dyDescent="0.25">
      <c r="A22" s="79"/>
      <c r="B22" s="629" t="s">
        <v>871</v>
      </c>
      <c r="C22" s="79"/>
      <c r="D22" s="79"/>
      <c r="E22" s="79"/>
      <c r="F22" s="79"/>
      <c r="G22" s="79"/>
      <c r="H22" s="129">
        <v>-3353</v>
      </c>
      <c r="I22" s="82"/>
      <c r="J22" s="129">
        <v>-2387</v>
      </c>
      <c r="K22" s="262"/>
      <c r="L22" s="79"/>
      <c r="M22" s="79"/>
    </row>
    <row r="23" spans="1:13" ht="15.75" x14ac:dyDescent="0.25">
      <c r="A23" s="79"/>
      <c r="B23" s="629" t="s">
        <v>872</v>
      </c>
      <c r="C23" s="79"/>
      <c r="D23" s="79"/>
      <c r="E23" s="79"/>
      <c r="F23" s="79"/>
      <c r="G23" s="79"/>
      <c r="H23" s="129">
        <v>0</v>
      </c>
      <c r="I23" s="82"/>
      <c r="J23" s="129">
        <v>-4230</v>
      </c>
      <c r="K23" s="262"/>
      <c r="L23" s="79"/>
      <c r="M23" s="79"/>
    </row>
    <row r="24" spans="1:13" ht="15.75" x14ac:dyDescent="0.25">
      <c r="A24" s="79"/>
      <c r="B24" s="629" t="s">
        <v>873</v>
      </c>
      <c r="C24" s="79"/>
      <c r="D24" s="79"/>
      <c r="E24" s="79"/>
      <c r="F24" s="79"/>
      <c r="G24" s="79"/>
      <c r="H24" s="129">
        <v>2153</v>
      </c>
      <c r="I24" s="82"/>
      <c r="J24" s="129">
        <v>246</v>
      </c>
      <c r="K24" s="262"/>
      <c r="L24" s="79"/>
      <c r="M24" s="79"/>
    </row>
    <row r="25" spans="1:13" ht="15.75" x14ac:dyDescent="0.25">
      <c r="A25" s="79"/>
      <c r="B25" s="629"/>
      <c r="C25" s="79"/>
      <c r="D25" s="79"/>
      <c r="E25" s="79"/>
      <c r="F25" s="79"/>
      <c r="G25" s="79"/>
      <c r="H25" s="129"/>
      <c r="I25" s="82"/>
      <c r="J25" s="129"/>
      <c r="K25" s="262"/>
      <c r="L25" s="79"/>
      <c r="M25" s="79"/>
    </row>
    <row r="26" spans="1:13" ht="15.75" x14ac:dyDescent="0.25">
      <c r="A26" s="79"/>
      <c r="B26" s="261"/>
      <c r="C26" s="79"/>
      <c r="D26" s="79"/>
      <c r="E26" s="79"/>
      <c r="F26" s="79"/>
      <c r="G26" s="79"/>
      <c r="H26" s="163">
        <f>SUM(H14:H25)</f>
        <v>18681</v>
      </c>
      <c r="I26" s="78"/>
      <c r="J26" s="163">
        <f>SUM(J14:J25)</f>
        <v>6273</v>
      </c>
      <c r="K26" s="262"/>
      <c r="L26" s="79"/>
      <c r="M26" s="79"/>
    </row>
    <row r="27" spans="1:13" ht="15.75" x14ac:dyDescent="0.25">
      <c r="A27" s="79"/>
      <c r="B27" s="261"/>
      <c r="C27" s="79"/>
      <c r="D27" s="79"/>
      <c r="E27" s="79"/>
      <c r="F27" s="79"/>
      <c r="G27" s="79"/>
      <c r="H27" s="94"/>
      <c r="I27" s="94"/>
      <c r="J27" s="94"/>
      <c r="K27" s="262"/>
      <c r="L27" s="79"/>
      <c r="M27" s="79"/>
    </row>
    <row r="28" spans="1:13" ht="18.75" x14ac:dyDescent="0.3">
      <c r="A28" s="79"/>
      <c r="B28" s="263" t="s">
        <v>193</v>
      </c>
      <c r="C28" s="79"/>
      <c r="D28" s="79"/>
      <c r="E28" s="79"/>
      <c r="F28" s="79"/>
      <c r="G28" s="79"/>
      <c r="H28" s="79"/>
      <c r="I28" s="79"/>
      <c r="J28" s="79"/>
      <c r="K28" s="262"/>
      <c r="L28" s="79"/>
      <c r="M28" s="79"/>
    </row>
    <row r="29" spans="1:13" ht="15.75" x14ac:dyDescent="0.25">
      <c r="A29" s="79"/>
      <c r="B29" s="264"/>
      <c r="C29" s="79"/>
      <c r="D29" s="79"/>
      <c r="E29" s="79"/>
      <c r="F29" s="79"/>
      <c r="G29" s="79"/>
      <c r="H29" s="79"/>
      <c r="I29" s="79"/>
      <c r="J29" s="79"/>
      <c r="K29" s="262"/>
      <c r="L29" s="79"/>
      <c r="M29" s="79"/>
    </row>
    <row r="30" spans="1:13" ht="15.75" x14ac:dyDescent="0.25">
      <c r="A30" s="79"/>
      <c r="B30" s="261" t="s">
        <v>194</v>
      </c>
      <c r="C30" s="79"/>
      <c r="D30" s="79"/>
      <c r="E30" s="79"/>
      <c r="F30" s="79"/>
      <c r="G30" s="79"/>
      <c r="H30" s="129">
        <v>-1785</v>
      </c>
      <c r="I30" s="82"/>
      <c r="J30" s="129">
        <v>-4761</v>
      </c>
      <c r="K30" s="262"/>
      <c r="L30" s="79"/>
      <c r="M30" s="79"/>
    </row>
    <row r="31" spans="1:13" ht="15.75" x14ac:dyDescent="0.25">
      <c r="A31" s="79"/>
      <c r="B31" s="261" t="s">
        <v>195</v>
      </c>
      <c r="C31" s="79"/>
      <c r="D31" s="79"/>
      <c r="E31" s="79"/>
      <c r="F31" s="79"/>
      <c r="G31" s="79"/>
      <c r="H31" s="129">
        <v>-3901</v>
      </c>
      <c r="I31" s="82"/>
      <c r="J31" s="129">
        <v>-8106</v>
      </c>
      <c r="K31" s="262"/>
      <c r="L31" s="79"/>
      <c r="M31" s="79"/>
    </row>
    <row r="32" spans="1:13" ht="15.75" x14ac:dyDescent="0.25">
      <c r="A32" s="79"/>
      <c r="B32" s="261" t="s">
        <v>196</v>
      </c>
      <c r="C32" s="79"/>
      <c r="D32" s="79"/>
      <c r="E32" s="79"/>
      <c r="F32" s="79"/>
      <c r="G32" s="79"/>
      <c r="H32" s="129">
        <v>-20</v>
      </c>
      <c r="I32" s="82"/>
      <c r="J32" s="129">
        <v>3215</v>
      </c>
      <c r="K32" s="262"/>
      <c r="L32" s="79"/>
      <c r="M32" s="79"/>
    </row>
    <row r="33" spans="1:13" ht="15.75" x14ac:dyDescent="0.25">
      <c r="A33" s="79"/>
      <c r="B33" s="261" t="s">
        <v>197</v>
      </c>
      <c r="C33" s="79"/>
      <c r="D33" s="79"/>
      <c r="E33" s="79"/>
      <c r="F33" s="79"/>
      <c r="G33" s="79"/>
      <c r="H33" s="129"/>
      <c r="I33" s="82"/>
      <c r="J33" s="129"/>
      <c r="K33" s="262"/>
      <c r="L33" s="79"/>
      <c r="M33" s="79"/>
    </row>
    <row r="34" spans="1:13" ht="15.75" x14ac:dyDescent="0.25">
      <c r="A34" s="79"/>
      <c r="B34" s="261" t="s">
        <v>198</v>
      </c>
      <c r="C34" s="79"/>
      <c r="D34" s="79"/>
      <c r="E34" s="79"/>
      <c r="F34" s="79"/>
      <c r="G34" s="79"/>
      <c r="H34" s="129">
        <v>-5374</v>
      </c>
      <c r="I34" s="82"/>
      <c r="J34" s="129">
        <v>14238</v>
      </c>
      <c r="K34" s="262"/>
      <c r="L34" s="79"/>
      <c r="M34" s="79"/>
    </row>
    <row r="35" spans="1:13" ht="15.75" x14ac:dyDescent="0.25">
      <c r="A35" s="79"/>
      <c r="B35" s="261" t="s">
        <v>199</v>
      </c>
      <c r="C35" s="79"/>
      <c r="D35" s="79"/>
      <c r="E35" s="79"/>
      <c r="F35" s="79"/>
      <c r="G35" s="79"/>
      <c r="H35" s="129">
        <f>-8479+1543</f>
        <v>-6936</v>
      </c>
      <c r="I35" s="82"/>
      <c r="J35" s="129">
        <f>-3797-3505</f>
        <v>-7302</v>
      </c>
      <c r="K35" s="262"/>
      <c r="L35" s="79"/>
      <c r="M35" s="79"/>
    </row>
    <row r="36" spans="1:13" ht="15.75" x14ac:dyDescent="0.25">
      <c r="A36" s="79"/>
      <c r="B36" s="749" t="s">
        <v>200</v>
      </c>
      <c r="C36" s="750"/>
      <c r="D36" s="750"/>
      <c r="E36" s="750"/>
      <c r="F36" s="750"/>
      <c r="G36" s="79"/>
      <c r="H36" s="129">
        <v>132</v>
      </c>
      <c r="I36" s="82"/>
      <c r="J36" s="129">
        <v>50</v>
      </c>
      <c r="K36" s="262"/>
      <c r="L36" s="79"/>
      <c r="M36" s="79"/>
    </row>
    <row r="37" spans="1:13" ht="15.75" x14ac:dyDescent="0.25">
      <c r="A37" s="79"/>
      <c r="B37" s="261" t="s">
        <v>201</v>
      </c>
      <c r="C37" s="79"/>
      <c r="D37" s="79"/>
      <c r="E37" s="79"/>
      <c r="F37" s="79"/>
      <c r="G37" s="79"/>
      <c r="H37" s="129">
        <f>-3592-355</f>
        <v>-3947</v>
      </c>
      <c r="I37" s="82"/>
      <c r="J37" s="129">
        <v>4819</v>
      </c>
      <c r="K37" s="262"/>
      <c r="L37" s="79"/>
      <c r="M37" s="79"/>
    </row>
    <row r="38" spans="1:13" ht="15.75" x14ac:dyDescent="0.25">
      <c r="A38" s="79"/>
      <c r="B38" s="629" t="s">
        <v>874</v>
      </c>
      <c r="C38" s="79"/>
      <c r="D38" s="79"/>
      <c r="E38" s="79"/>
      <c r="F38" s="79"/>
      <c r="G38" s="79"/>
      <c r="H38" s="129">
        <v>-395</v>
      </c>
      <c r="I38" s="82"/>
      <c r="J38" s="129">
        <v>680</v>
      </c>
      <c r="K38" s="262"/>
      <c r="L38" s="79"/>
      <c r="M38" s="79"/>
    </row>
    <row r="39" spans="1:13" ht="15.75" x14ac:dyDescent="0.25">
      <c r="A39" s="79"/>
      <c r="B39" s="629" t="str">
        <f>'[1]נייר עבודה דו"ח תזרים'!C61</f>
        <v>סעיף אחר-פעילות שוטפת (שינוי בסעיפי רכוש והתחייבות) (***)</v>
      </c>
      <c r="C39" s="79"/>
      <c r="D39" s="79"/>
      <c r="E39" s="79"/>
      <c r="F39" s="79"/>
      <c r="G39" s="79"/>
      <c r="H39" s="129"/>
      <c r="I39" s="82"/>
      <c r="J39" s="129"/>
      <c r="K39" s="262"/>
      <c r="L39" s="79"/>
      <c r="M39" s="79"/>
    </row>
    <row r="40" spans="1:13" ht="15.75" x14ac:dyDescent="0.25">
      <c r="A40" s="79"/>
      <c r="B40" s="261"/>
      <c r="C40" s="79"/>
      <c r="D40" s="79"/>
      <c r="E40" s="79"/>
      <c r="F40" s="79"/>
      <c r="G40" s="79"/>
      <c r="H40" s="163">
        <f>SUM(H30:H39)</f>
        <v>-22226</v>
      </c>
      <c r="I40" s="78"/>
      <c r="J40" s="163">
        <f>SUM(J30:J39)</f>
        <v>2833</v>
      </c>
      <c r="K40" s="262"/>
      <c r="L40" s="79"/>
      <c r="M40" s="79"/>
    </row>
    <row r="41" spans="1:13" ht="15.75" x14ac:dyDescent="0.25">
      <c r="A41" s="79"/>
      <c r="B41" s="261"/>
      <c r="C41" s="79"/>
      <c r="D41" s="79"/>
      <c r="E41" s="79"/>
      <c r="F41" s="79"/>
      <c r="G41" s="79"/>
      <c r="H41" s="78"/>
      <c r="I41" s="78"/>
      <c r="J41" s="78"/>
      <c r="K41" s="262"/>
      <c r="L41" s="79"/>
      <c r="M41" s="79"/>
    </row>
    <row r="42" spans="1:13" ht="18.75" x14ac:dyDescent="0.3">
      <c r="A42" s="79"/>
      <c r="B42" s="261"/>
      <c r="C42" s="79"/>
      <c r="D42" s="79"/>
      <c r="E42" s="79"/>
      <c r="F42" s="79"/>
      <c r="G42" s="79"/>
      <c r="H42" s="219">
        <f>H26+H40</f>
        <v>-3545</v>
      </c>
      <c r="I42" s="233"/>
      <c r="J42" s="219">
        <f>J26+J40</f>
        <v>9106</v>
      </c>
      <c r="K42" s="262"/>
      <c r="L42" s="79"/>
      <c r="M42" s="79"/>
    </row>
    <row r="43" spans="1:13" ht="19.5" thickBot="1" x14ac:dyDescent="0.35">
      <c r="A43" s="79"/>
      <c r="B43" s="265"/>
      <c r="C43" s="266"/>
      <c r="D43" s="266"/>
      <c r="E43" s="266"/>
      <c r="F43" s="266"/>
      <c r="G43" s="266"/>
      <c r="H43" s="267"/>
      <c r="I43" s="267"/>
      <c r="J43" s="267"/>
      <c r="K43" s="268"/>
      <c r="L43" s="79"/>
      <c r="M43" s="79"/>
    </row>
    <row r="44" spans="1:13" ht="15.75" x14ac:dyDescent="0.25">
      <c r="A44" s="79"/>
      <c r="B44" s="79"/>
      <c r="C44" s="79"/>
      <c r="D44" s="79"/>
      <c r="E44" s="79"/>
      <c r="F44" s="79"/>
      <c r="G44" s="79"/>
      <c r="H44" s="94"/>
      <c r="I44" s="94"/>
      <c r="J44" s="94"/>
      <c r="K44" s="79"/>
      <c r="L44" s="79"/>
      <c r="M44" s="79"/>
    </row>
    <row r="45" spans="1:13" ht="15.75" x14ac:dyDescent="0.25">
      <c r="A45" s="79"/>
      <c r="B45" s="79"/>
      <c r="C45" s="79"/>
      <c r="D45" s="79"/>
      <c r="E45" s="79"/>
      <c r="F45" s="79"/>
      <c r="G45" s="79"/>
      <c r="H45" s="79"/>
      <c r="I45" s="79"/>
      <c r="J45" s="79"/>
      <c r="K45" s="79"/>
      <c r="L45" s="79"/>
      <c r="M45" s="79"/>
    </row>
    <row r="46" spans="1:13" ht="15.75" x14ac:dyDescent="0.25">
      <c r="A46" s="79"/>
      <c r="B46" s="79"/>
      <c r="C46" s="79"/>
      <c r="D46" s="79"/>
      <c r="E46" s="79"/>
      <c r="F46" s="79"/>
      <c r="G46" s="79"/>
      <c r="H46" s="79"/>
      <c r="I46" s="79"/>
      <c r="J46" s="79"/>
      <c r="K46" s="79"/>
      <c r="L46" s="79"/>
      <c r="M46" s="79"/>
    </row>
    <row r="47" spans="1:13" ht="15.75" x14ac:dyDescent="0.25">
      <c r="A47" s="79"/>
      <c r="B47" s="79"/>
      <c r="C47" s="79"/>
      <c r="D47" s="79"/>
      <c r="E47" s="79"/>
      <c r="F47" s="79"/>
      <c r="G47" s="79"/>
      <c r="H47" s="79"/>
      <c r="I47" s="79"/>
      <c r="J47" s="79"/>
      <c r="K47" s="79"/>
      <c r="L47" s="79"/>
      <c r="M47" s="79"/>
    </row>
    <row r="48" spans="1:13" ht="15.75" x14ac:dyDescent="0.25">
      <c r="B48" s="79"/>
      <c r="C48" s="79"/>
      <c r="D48" s="79"/>
      <c r="E48" s="79"/>
      <c r="F48" s="79"/>
      <c r="G48" s="79"/>
      <c r="H48" s="79"/>
      <c r="I48" s="79"/>
      <c r="J48" s="79"/>
    </row>
    <row r="49" spans="2:10" ht="15.75" x14ac:dyDescent="0.25">
      <c r="B49" s="79"/>
      <c r="C49" s="79"/>
      <c r="D49" s="79"/>
      <c r="E49" s="79"/>
      <c r="F49" s="79"/>
      <c r="G49" s="79"/>
      <c r="H49" s="79"/>
      <c r="I49" s="79"/>
      <c r="J49" s="79"/>
    </row>
    <row r="50" spans="2:10" ht="15.75" x14ac:dyDescent="0.25">
      <c r="B50" s="79"/>
      <c r="C50" s="79"/>
      <c r="D50" s="79"/>
      <c r="E50" s="79"/>
      <c r="F50" s="79"/>
      <c r="G50" s="79"/>
      <c r="H50" s="79"/>
      <c r="I50" s="79"/>
      <c r="J50" s="79"/>
    </row>
    <row r="51" spans="2:10" ht="15.75" x14ac:dyDescent="0.25">
      <c r="B51" s="79"/>
      <c r="C51" s="79"/>
      <c r="D51" s="79"/>
      <c r="E51" s="79"/>
      <c r="F51" s="79"/>
      <c r="G51" s="79"/>
      <c r="H51" s="79"/>
      <c r="I51" s="79"/>
      <c r="J51" s="79"/>
    </row>
    <row r="52" spans="2:10" ht="15.75" x14ac:dyDescent="0.25">
      <c r="B52" s="79"/>
      <c r="C52" s="79"/>
      <c r="D52" s="79"/>
      <c r="E52" s="79"/>
      <c r="F52" s="79"/>
      <c r="G52" s="79"/>
      <c r="H52" s="79"/>
      <c r="I52" s="79"/>
      <c r="J52" s="79"/>
    </row>
    <row r="53" spans="2:10" ht="15.75" x14ac:dyDescent="0.25">
      <c r="B53" s="79"/>
      <c r="C53" s="79"/>
      <c r="D53" s="79"/>
      <c r="E53" s="79"/>
      <c r="F53" s="79"/>
      <c r="G53" s="79"/>
      <c r="H53" s="79"/>
      <c r="I53" s="79"/>
      <c r="J53" s="79"/>
    </row>
    <row r="54" spans="2:10" ht="15.75" x14ac:dyDescent="0.25">
      <c r="B54" s="79"/>
      <c r="C54" s="79"/>
      <c r="D54" s="79"/>
      <c r="E54" s="79"/>
      <c r="F54" s="79"/>
      <c r="G54" s="79"/>
      <c r="H54" s="79"/>
      <c r="I54" s="79"/>
      <c r="J54" s="79"/>
    </row>
  </sheetData>
  <sheetProtection algorithmName="SHA-512" hashValue="iavblJd0JV72o9X0KIvYe1+NCDoC9g3zUi9t/znUg4c7YHzf3KwLBkqo0NcyVg3LfjHLc+qTo9DCd95xersaAA==" saltValue="7o4pIaVoFBXSHO2hRtXi1g==" spinCount="100000" sheet="1" objects="1" scenarios="1"/>
  <mergeCells count="2">
    <mergeCell ref="B6:J6"/>
    <mergeCell ref="B36:F36"/>
  </mergeCells>
  <hyperlinks>
    <hyperlink ref="A6" location="'תוכן עניינים'!A1" display="תוכן עניינים" xr:uid="{00000000-0004-0000-0800-000000000000}"/>
    <hyperlink ref="A7" location="תזרים!A1" display="דוח תזרים מזומנים" xr:uid="{00000000-0004-0000-0800-000001000000}"/>
    <hyperlink ref="A8" location="'נספח ב'!A1" display="נספח ב" xr:uid="{00000000-0004-0000-0800-000002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73FB89D52EC348BC67D8A1C6F53A2E" ma:contentTypeVersion="16" ma:contentTypeDescription="Create a new document." ma:contentTypeScope="" ma:versionID="4ee3b08d5ef5d5d5c702e5cb8fab7cb5">
  <xsd:schema xmlns:xsd="http://www.w3.org/2001/XMLSchema" xmlns:xs="http://www.w3.org/2001/XMLSchema" xmlns:p="http://schemas.microsoft.com/office/2006/metadata/properties" xmlns:ns2="b8cdedd5-e415-45a5-9dcf-a7cbe08ed885" xmlns:ns3="5a31dedd-3c2b-4381-bb49-3a43f0a1af4d" targetNamespace="http://schemas.microsoft.com/office/2006/metadata/properties" ma:root="true" ma:fieldsID="122fc7b7173715fde0f71203b9a401ce" ns2:_="" ns3:_="">
    <xsd:import namespace="b8cdedd5-e415-45a5-9dcf-a7cbe08ed885"/>
    <xsd:import namespace="5a31dedd-3c2b-4381-bb49-3a43f0a1af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x05ea__x05d0__x05e8__x05d9__x05da__x05d5__x05e9__x05e2__x05d4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dedd5-e415-45a5-9dcf-a7cbe08ed8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x05ea__x05d0__x05e8__x05d9__x05da__x05d5__x05e9__x05e2__x05d4_" ma:index="21" nillable="true" ma:displayName="תאריך ושעה" ma:description="תאריך ושעה" ma:format="DateTime" ma:internalName="_x05ea__x05d0__x05e8__x05d9__x05da__x05d5__x05e9__x05e2__x05d4_">
      <xsd:simpleType>
        <xsd:restriction base="dms:DateTim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31dedd-3c2b-4381-bb49-3a43f0a1af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a4f3bb-6793-473c-be13-ad0fc0d3b789}" ma:internalName="TaxCatchAll" ma:showField="CatchAllData" ma:web="5a31dedd-3c2b-4381-bb49-3a43f0a1af4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cdedd5-e415-45a5-9dcf-a7cbe08ed885">
      <Terms xmlns="http://schemas.microsoft.com/office/infopath/2007/PartnerControls"/>
    </lcf76f155ced4ddcb4097134ff3c332f>
    <TaxCatchAll xmlns="5a31dedd-3c2b-4381-bb49-3a43f0a1af4d" xsi:nil="true"/>
    <_x05ea__x05d0__x05e8__x05d9__x05da__x05d5__x05e9__x05e2__x05d4_ xmlns="b8cdedd5-e415-45a5-9dcf-a7cbe08ed8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datasnipper xmlns="http://datasnipper" included="true" dataSnipperSheetDeleted="false" guid="d0798b01-3cb7-4ee0-9d7b-6a8f8fb19449" revision="4">
  <documentgroups xmlns="" guid="55affdc1-5acd-4b70-ae33-62c1f533101a"/>
</datasnipper>
</file>

<file path=customXml/itemProps1.xml><?xml version="1.0" encoding="utf-8"?>
<ds:datastoreItem xmlns:ds="http://schemas.openxmlformats.org/officeDocument/2006/customXml" ds:itemID="{77B54174-AC85-4388-9B15-59BBA8E3F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dedd5-e415-45a5-9dcf-a7cbe08ed885"/>
    <ds:schemaRef ds:uri="5a31dedd-3c2b-4381-bb49-3a43f0a1a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A52BE7-98EE-4780-AC4D-3E4FC11128A8}">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a31dedd-3c2b-4381-bb49-3a43f0a1af4d"/>
    <ds:schemaRef ds:uri="http://schemas.openxmlformats.org/package/2006/metadata/core-properties"/>
    <ds:schemaRef ds:uri="b8cdedd5-e415-45a5-9dcf-a7cbe08ed885"/>
    <ds:schemaRef ds:uri="http://www.w3.org/XML/1998/namespace"/>
    <ds:schemaRef ds:uri="http://purl.org/dc/dcmitype/"/>
  </ds:schemaRefs>
</ds:datastoreItem>
</file>

<file path=customXml/itemProps3.xml><?xml version="1.0" encoding="utf-8"?>
<ds:datastoreItem xmlns:ds="http://schemas.openxmlformats.org/officeDocument/2006/customXml" ds:itemID="{06A42DB7-3FCB-4F02-B33E-451153A3ADF1}">
  <ds:schemaRefs>
    <ds:schemaRef ds:uri="http://schemas.microsoft.com/sharepoint/v3/contenttype/forms"/>
  </ds:schemaRefs>
</ds:datastoreItem>
</file>

<file path=customXml/itemProps4.xml><?xml version="1.0" encoding="utf-8"?>
<ds:datastoreItem xmlns:ds="http://schemas.openxmlformats.org/officeDocument/2006/customXml" ds:itemID="{AE3C6635-2498-4D95-994D-7B1516AE1C2B}">
  <ds:schemaRefs>
    <ds:schemaRef ds:uri="http://datasnipper"/>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18</vt:i4>
      </vt:variant>
    </vt:vector>
  </HeadingPairs>
  <TitlesOfParts>
    <vt:vector size="18" baseType="lpstr">
      <vt:lpstr>הנחיות</vt:lpstr>
      <vt:lpstr>פרטי התאגיד</vt:lpstr>
      <vt:lpstr>תוכן עניינים</vt:lpstr>
      <vt:lpstr>מאזן</vt:lpstr>
      <vt:lpstr>חוו"ד רו"ח</vt:lpstr>
      <vt:lpstr>רו"ה</vt:lpstr>
      <vt:lpstr>הון עצמי</vt:lpstr>
      <vt:lpstr>תזרים</vt:lpstr>
      <vt:lpstr>נספח א</vt:lpstr>
      <vt:lpstr>נספח ב</vt:lpstr>
      <vt:lpstr>ביאורים 1-9</vt:lpstr>
      <vt:lpstr>ביאורים 10-11</vt:lpstr>
      <vt:lpstr>ביאור 10 פירוט</vt:lpstr>
      <vt:lpstr>ביאור 11 פירוט</vt:lpstr>
      <vt:lpstr>ביאורים 12-29</vt:lpstr>
      <vt:lpstr>ביאורים 30-32</vt:lpstr>
      <vt:lpstr>תמצית דוח דירקטוריון</vt:lpstr>
      <vt:lpstr>דוח הצלבות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Nadav Dar</dc:creator>
  <cp:lastModifiedBy>Sharon</cp:lastModifiedBy>
  <cp:lastPrinted>2025-04-09T09:14:21Z</cp:lastPrinted>
  <dcterms:created xsi:type="dcterms:W3CDTF">2022-12-29T14:48:41Z</dcterms:created>
  <dcterms:modified xsi:type="dcterms:W3CDTF">2025-04-09T11:39:23Z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0x0101008373FB89D52EC348BC67D8A1C6F53A2E</vt:lpwstr>
  </property>
  <property fmtid="{D5CDD505-2E9C-101B-9397-08002B2CF9AE}" pid="4" name="_NewReviewCycle">
    <vt:lpwstr/>
  </property>
</Properties>
</file>